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285" windowWidth="11115" windowHeight="8655" activeTab="3"/>
  </bookViews>
  <sheets>
    <sheet name="KQKD" sheetId="9" r:id="rId1"/>
    <sheet name="TMBC" sheetId="11" r:id="rId2"/>
    <sheet name="CDKT" sheetId="3" r:id="rId3"/>
    <sheet name="LCTT" sheetId="13" r:id="rId4"/>
    <sheet name="CBTT" sheetId="15" r:id="rId5"/>
  </sheets>
  <calcPr calcId="124519"/>
</workbook>
</file>

<file path=xl/calcChain.xml><?xml version="1.0" encoding="utf-8"?>
<calcChain xmlns="http://schemas.openxmlformats.org/spreadsheetml/2006/main">
  <c r="K39" i="13"/>
  <c r="K38"/>
  <c r="K42"/>
  <c r="E29"/>
  <c r="K29"/>
  <c r="D370" i="11"/>
  <c r="J28" i="9"/>
  <c r="D65" i="15"/>
  <c r="C65"/>
  <c r="D63"/>
  <c r="D98" i="3"/>
  <c r="I27" i="9"/>
  <c r="G27"/>
  <c r="F27"/>
  <c r="E27"/>
  <c r="J26"/>
  <c r="D60" i="15"/>
  <c r="D59"/>
  <c r="D57"/>
  <c r="D56"/>
  <c r="D55"/>
  <c r="D54"/>
  <c r="D52"/>
  <c r="D50"/>
  <c r="D49"/>
  <c r="D31"/>
  <c r="C42"/>
  <c r="C30"/>
  <c r="C35"/>
  <c r="C27"/>
  <c r="C45"/>
  <c r="C18"/>
  <c r="C16"/>
  <c r="C10"/>
  <c r="C61"/>
  <c r="D61"/>
  <c r="C51"/>
  <c r="C53"/>
  <c r="C58"/>
  <c r="C62"/>
  <c r="C66"/>
  <c r="D51"/>
  <c r="D53"/>
  <c r="D58"/>
  <c r="D42"/>
  <c r="D30"/>
  <c r="D35"/>
  <c r="D27"/>
  <c r="D18"/>
  <c r="D16"/>
  <c r="D10"/>
  <c r="D432" i="11"/>
  <c r="C432"/>
  <c r="D417"/>
  <c r="C417"/>
  <c r="D410"/>
  <c r="D414"/>
  <c r="C414"/>
  <c r="D413"/>
  <c r="D411"/>
  <c r="C411"/>
  <c r="D356"/>
  <c r="J42" i="13"/>
  <c r="K20"/>
  <c r="J20"/>
  <c r="I20"/>
  <c r="H20"/>
  <c r="G20"/>
  <c r="F20"/>
  <c r="E20"/>
  <c r="D20"/>
  <c r="J29"/>
  <c r="J39"/>
  <c r="I29"/>
  <c r="H29"/>
  <c r="G29"/>
  <c r="F29"/>
  <c r="E39"/>
  <c r="E42" s="1"/>
  <c r="D29"/>
  <c r="I20" i="9"/>
  <c r="G20"/>
  <c r="F20"/>
  <c r="E20"/>
  <c r="J23"/>
  <c r="I23"/>
  <c r="H23"/>
  <c r="G23"/>
  <c r="F23"/>
  <c r="E23"/>
  <c r="C407" i="11"/>
  <c r="D17" i="9"/>
  <c r="J103" i="3"/>
  <c r="C428" i="11"/>
  <c r="D425"/>
  <c r="C425"/>
  <c r="D422"/>
  <c r="C422"/>
  <c r="D401"/>
  <c r="J19" i="9"/>
  <c r="C401" i="11"/>
  <c r="D19" i="9"/>
  <c r="D393" i="11"/>
  <c r="J18" i="9"/>
  <c r="J20" s="1"/>
  <c r="J24" s="1"/>
  <c r="J27" s="1"/>
  <c r="C393" i="11"/>
  <c r="D18" i="9"/>
  <c r="D386" i="11"/>
  <c r="C386"/>
  <c r="D16" i="9"/>
  <c r="D384" i="11"/>
  <c r="C384"/>
  <c r="D383"/>
  <c r="J15" i="9"/>
  <c r="C383" i="11"/>
  <c r="D381"/>
  <c r="D378"/>
  <c r="D380"/>
  <c r="C380"/>
  <c r="C378"/>
  <c r="D13" i="9"/>
  <c r="C377" i="11"/>
  <c r="D376"/>
  <c r="D374"/>
  <c r="C375"/>
  <c r="D372"/>
  <c r="C372"/>
  <c r="C370"/>
  <c r="C376"/>
  <c r="C374"/>
  <c r="D368"/>
  <c r="C368"/>
  <c r="D362"/>
  <c r="C362"/>
  <c r="J356"/>
  <c r="J355"/>
  <c r="J354"/>
  <c r="J353"/>
  <c r="J352"/>
  <c r="J351"/>
  <c r="I349"/>
  <c r="I350"/>
  <c r="I357"/>
  <c r="H349"/>
  <c r="H350"/>
  <c r="H357"/>
  <c r="G349"/>
  <c r="G350"/>
  <c r="G357"/>
  <c r="F349"/>
  <c r="F350"/>
  <c r="F357"/>
  <c r="D349"/>
  <c r="D350"/>
  <c r="D357"/>
  <c r="C349"/>
  <c r="C350"/>
  <c r="C357"/>
  <c r="B349"/>
  <c r="J348"/>
  <c r="J347"/>
  <c r="J346"/>
  <c r="J345"/>
  <c r="J344"/>
  <c r="J343"/>
  <c r="J349"/>
  <c r="J350"/>
  <c r="D331"/>
  <c r="D335"/>
  <c r="C331"/>
  <c r="C335"/>
  <c r="C329"/>
  <c r="D76" i="3"/>
  <c r="D325" i="11"/>
  <c r="C325"/>
  <c r="D73" i="3"/>
  <c r="D313" i="11"/>
  <c r="C313"/>
  <c r="D70" i="3"/>
  <c r="D302" i="11"/>
  <c r="C302"/>
  <c r="D68" i="3"/>
  <c r="D297" i="11"/>
  <c r="D291"/>
  <c r="C297"/>
  <c r="C291"/>
  <c r="D295"/>
  <c r="C295"/>
  <c r="D65" i="3"/>
  <c r="D64" s="1"/>
  <c r="D63" s="1"/>
  <c r="D103" s="1"/>
  <c r="D289" i="11"/>
  <c r="C289"/>
  <c r="D57" i="3"/>
  <c r="D56" s="1"/>
  <c r="D278" i="11"/>
  <c r="C267"/>
  <c r="C266"/>
  <c r="C279"/>
  <c r="D47" i="3"/>
  <c r="D37" s="1"/>
  <c r="D30" s="1"/>
  <c r="D264" i="11"/>
  <c r="D279"/>
  <c r="F258"/>
  <c r="E258"/>
  <c r="D258"/>
  <c r="C258"/>
  <c r="B258"/>
  <c r="F256"/>
  <c r="F259"/>
  <c r="E256"/>
  <c r="D256"/>
  <c r="D259"/>
  <c r="C256"/>
  <c r="B256"/>
  <c r="G255"/>
  <c r="G254"/>
  <c r="G253"/>
  <c r="G252"/>
  <c r="F250"/>
  <c r="E250"/>
  <c r="D250"/>
  <c r="C250"/>
  <c r="B250"/>
  <c r="G249"/>
  <c r="G248"/>
  <c r="G247"/>
  <c r="G246"/>
  <c r="G245"/>
  <c r="G250"/>
  <c r="G234"/>
  <c r="F232"/>
  <c r="E232"/>
  <c r="D232"/>
  <c r="C232"/>
  <c r="B232"/>
  <c r="F230"/>
  <c r="E230"/>
  <c r="D230"/>
  <c r="B230"/>
  <c r="G230"/>
  <c r="G229"/>
  <c r="C225"/>
  <c r="G225"/>
  <c r="G224"/>
  <c r="F222"/>
  <c r="E222"/>
  <c r="D222"/>
  <c r="C222"/>
  <c r="C233"/>
  <c r="B222"/>
  <c r="G221"/>
  <c r="G217"/>
  <c r="G216"/>
  <c r="G215"/>
  <c r="G232"/>
  <c r="D205"/>
  <c r="C205"/>
  <c r="D29" i="3"/>
  <c r="D200" i="11"/>
  <c r="C200"/>
  <c r="D28" i="3"/>
  <c r="D25"/>
  <c r="D192" i="11"/>
  <c r="C192"/>
  <c r="D23" i="3"/>
  <c r="D22"/>
  <c r="C180" i="11"/>
  <c r="D178"/>
  <c r="D181"/>
  <c r="C178"/>
  <c r="C181"/>
  <c r="D20" i="3"/>
  <c r="D15" s="1"/>
  <c r="D175" i="11"/>
  <c r="D183"/>
  <c r="D196"/>
  <c r="D202"/>
  <c r="C175"/>
  <c r="C183"/>
  <c r="C196"/>
  <c r="C202"/>
  <c r="C173"/>
  <c r="D13" i="3"/>
  <c r="D12"/>
  <c r="D170" i="11"/>
  <c r="D173"/>
  <c r="C170"/>
  <c r="D164"/>
  <c r="D168"/>
  <c r="C164"/>
  <c r="C168"/>
  <c r="D66" i="3"/>
  <c r="D67"/>
  <c r="D17"/>
  <c r="E24" i="9"/>
  <c r="E12"/>
  <c r="E14"/>
  <c r="D23"/>
  <c r="D15"/>
  <c r="D11"/>
  <c r="D12" s="1"/>
  <c r="D14" s="1"/>
  <c r="D20" s="1"/>
  <c r="D24" s="1"/>
  <c r="D27" s="1"/>
  <c r="D28" s="1"/>
  <c r="E40" i="13"/>
  <c r="E38"/>
  <c r="D19"/>
  <c r="D18"/>
  <c r="D14"/>
  <c r="D35"/>
  <c r="D38"/>
  <c r="D15"/>
  <c r="D22"/>
  <c r="F17" i="9"/>
  <c r="F22" i="13"/>
  <c r="F14"/>
  <c r="F18"/>
  <c r="F38"/>
  <c r="F12" i="9"/>
  <c r="G13"/>
  <c r="G10"/>
  <c r="G12"/>
  <c r="G14"/>
  <c r="G24"/>
  <c r="H19" i="13"/>
  <c r="H17" i="9"/>
  <c r="H18"/>
  <c r="H19"/>
  <c r="H14" i="13"/>
  <c r="H18"/>
  <c r="H38"/>
  <c r="I38"/>
  <c r="I12" i="9"/>
  <c r="I14"/>
  <c r="I24"/>
  <c r="D10" i="3"/>
  <c r="D44"/>
  <c r="E44"/>
  <c r="E38"/>
  <c r="D96"/>
  <c r="D86"/>
  <c r="D85"/>
  <c r="E15"/>
  <c r="E9"/>
  <c r="E12"/>
  <c r="E22"/>
  <c r="E25"/>
  <c r="E8"/>
  <c r="E56"/>
  <c r="D41"/>
  <c r="D31"/>
  <c r="E64"/>
  <c r="D100"/>
  <c r="H86"/>
  <c r="H85"/>
  <c r="H100"/>
  <c r="H68"/>
  <c r="H64"/>
  <c r="H63"/>
  <c r="H73"/>
  <c r="H76"/>
  <c r="G86"/>
  <c r="G100"/>
  <c r="G85"/>
  <c r="G68"/>
  <c r="G64"/>
  <c r="G63"/>
  <c r="G103"/>
  <c r="G73"/>
  <c r="G76"/>
  <c r="F86"/>
  <c r="F100"/>
  <c r="F85"/>
  <c r="F68"/>
  <c r="F73"/>
  <c r="F64"/>
  <c r="F63"/>
  <c r="F76"/>
  <c r="E86"/>
  <c r="E85"/>
  <c r="E103"/>
  <c r="E100"/>
  <c r="E76"/>
  <c r="E63"/>
  <c r="H38"/>
  <c r="H37"/>
  <c r="H30"/>
  <c r="H60"/>
  <c r="H53"/>
  <c r="H51"/>
  <c r="H56"/>
  <c r="H11"/>
  <c r="H9"/>
  <c r="H12"/>
  <c r="H19"/>
  <c r="H20"/>
  <c r="H15"/>
  <c r="H8"/>
  <c r="H22"/>
  <c r="H25"/>
  <c r="G38"/>
  <c r="G37"/>
  <c r="G30"/>
  <c r="G60"/>
  <c r="G53"/>
  <c r="G51"/>
  <c r="G11"/>
  <c r="G9"/>
  <c r="G8"/>
  <c r="G12"/>
  <c r="G19"/>
  <c r="G20"/>
  <c r="G15"/>
  <c r="G22"/>
  <c r="G25"/>
  <c r="F38"/>
  <c r="F37"/>
  <c r="F30"/>
  <c r="F60"/>
  <c r="F53"/>
  <c r="F51"/>
  <c r="F11"/>
  <c r="F9"/>
  <c r="F12"/>
  <c r="F19"/>
  <c r="F15"/>
  <c r="F20"/>
  <c r="F22"/>
  <c r="F25"/>
  <c r="E41"/>
  <c r="E37"/>
  <c r="E30"/>
  <c r="E60"/>
  <c r="E51"/>
  <c r="E31"/>
  <c r="E48"/>
  <c r="D48"/>
  <c r="D39" i="13"/>
  <c r="D42"/>
  <c r="F14" i="9"/>
  <c r="F24"/>
  <c r="F28"/>
  <c r="H13"/>
  <c r="I39" i="13"/>
  <c r="I42"/>
  <c r="H39"/>
  <c r="H42"/>
  <c r="F40"/>
  <c r="F39"/>
  <c r="H10" i="9"/>
  <c r="H12" s="1"/>
  <c r="H14" s="1"/>
  <c r="H20" s="1"/>
  <c r="H24" s="1"/>
  <c r="H27" s="1"/>
  <c r="H28" s="1"/>
  <c r="H16"/>
  <c r="D38" i="3"/>
  <c r="F8"/>
  <c r="G25" i="9"/>
  <c r="H103" i="3"/>
  <c r="F103"/>
  <c r="H11" i="9"/>
  <c r="B350" i="11"/>
  <c r="B357"/>
  <c r="C304"/>
  <c r="C315"/>
  <c r="C328"/>
  <c r="D304"/>
  <c r="D315"/>
  <c r="D328"/>
  <c r="D433"/>
  <c r="G258"/>
  <c r="F233"/>
  <c r="E233"/>
  <c r="C230"/>
  <c r="C259"/>
  <c r="G259"/>
  <c r="C433"/>
  <c r="L349"/>
  <c r="E259"/>
  <c r="B259"/>
  <c r="G256"/>
  <c r="D233"/>
  <c r="F42" i="13"/>
  <c r="D62" i="15"/>
  <c r="D66"/>
  <c r="D45"/>
  <c r="C26"/>
  <c r="D26"/>
  <c r="J357" i="11"/>
  <c r="B233"/>
  <c r="G222"/>
  <c r="G233"/>
  <c r="D11" i="3"/>
  <c r="D9"/>
  <c r="D8" s="1"/>
  <c r="D60" l="1"/>
  <c r="I103" s="1"/>
</calcChain>
</file>

<file path=xl/sharedStrings.xml><?xml version="1.0" encoding="utf-8"?>
<sst xmlns="http://schemas.openxmlformats.org/spreadsheetml/2006/main" count="842" uniqueCount="750">
  <si>
    <t>+ ThuÕ thu nhËp doanh nghiÖp</t>
  </si>
  <si>
    <t>+ ThuÕ thu nhËp c¸ nh©n</t>
  </si>
  <si>
    <t xml:space="preserve">bao gåm chi phÝ mua ®èi víi hµng mua ngoµi, chi phÝ s¶n xuÊt ®èi víi hµng tù chÕ vµ c¸c chi phÝ liªn  </t>
  </si>
  <si>
    <t>quan trùc tiÕp ph¸t sinh ®Ó cã ®­îc hµng tån kho ë ®Þa ®iÓm vµ tr¹ng th¸i hiÖn t¹i.</t>
  </si>
  <si>
    <t xml:space="preserve">* Cã thêi h¹n thu håi hoÆc thanh to¸n trªn 01 n¨m (hoÆc h¬n 01 chu kú s¶n xuÊt kinh doanh) </t>
  </si>
  <si>
    <t>®­îc ph©n lo¹i lµ tµi s¶n dµi h¹n.</t>
  </si>
  <si>
    <t xml:space="preserve">Dù phßng ph¶i thu khã ®ßi thÓ hiÖn phÇn gi¸ trÞ dù kiÕn bÞ tæn thÊt cña c¸c kho¶n nî ph¶i thu </t>
  </si>
  <si>
    <t>cã kh¶ n¨ng kh«ng thu håi ®­îc t¹i c¸c thêi ®iÓm lËp B¸o c¸o tµi chÝnh.</t>
  </si>
  <si>
    <t xml:space="preserve">c¸o kÕt qu¶ ho¹t ®éng s¶n xuÊt kinh doanh. C¸c kho¶n thu kh¸c (ngoµi lîi nhuËn thuÇn) ®­îc  </t>
  </si>
  <si>
    <t>coi lµ phÇn thu håi c¸c kho¶n ®Çu t­ vµ ®­îc ghi nhËn lµ kho¶n gi¶m trõ gi¸ gèc ®Çu t­.</t>
  </si>
  <si>
    <t xml:space="preserve">+ Cã thêi h¹n thu håi hoÆc ®¸o h¹n kh«ng qu¸ 3 th¸ng kÓ tõ ngµy mua kho¶n ®Çu t­ ®ã ®­îc coi  </t>
  </si>
  <si>
    <t>lµ "t­¬ng ®­¬ng tiÒn"</t>
  </si>
  <si>
    <t xml:space="preserve">+ Cã thêi gian thu håi vèn d­íi 01 n¨m hoÆc trong 1 chu kú s¶n xuÊt kinh doanh ®­îc ph©n lo¹i  </t>
  </si>
  <si>
    <t>lµ tµi s¶n ng¾n h¹n.</t>
  </si>
  <si>
    <t xml:space="preserve">+ Cã thêi gian thu håi vèn trªn 01 n¨m hoÆc h¬n 1 chu kú s¶n xuÊt ®­îc ph©n lo¹i lµ tµi s¶n </t>
  </si>
  <si>
    <t>dµi h¹n.</t>
  </si>
  <si>
    <t xml:space="preserve">+ Cã thêi h¹n thu håi hoÆc ®¸o h¹n kh«ng qu¸ 3 th¸ng kÓ tõ ngµy mua kho¶n ®Çu t­ ®ã ®­îc coi </t>
  </si>
  <si>
    <t xml:space="preserve"> lµ "t­¬ng ®­¬ng tiÒn"</t>
  </si>
  <si>
    <t>+ Cã thêi gian thu håi vèn trªn 01 n¨m hoÆc h¬n 1 chu kú s¶n xuÊt ®­îc ph©n lo¹i lµ tµi s¶n</t>
  </si>
  <si>
    <t xml:space="preserve"> dµi h¹n.</t>
  </si>
  <si>
    <t xml:space="preserve">Dù phßng gi¶m gi¸ ®Çu t­ ®­îc lËp vµo thêi ®iÓm cuèi n¨m, lµ sè chªnh lÖch gi÷a gi¸ gèc cña c¸c </t>
  </si>
  <si>
    <t xml:space="preserve">kho¶n  ®Çu t­ ®­îc h¹ch to¸n trªn trªn sæ s¸ch lín h¬n gi¸ trÞ thÞ tr­êng cña chóng t¹i thêi ®iÓm </t>
  </si>
  <si>
    <t>lËp dù phßng.</t>
  </si>
  <si>
    <t xml:space="preserve">Dù phßng b¶o hµnh s¶n phÈm ®­îc lËp trªn c¬ së c¸c Hîp ®ång ®ang thùc thi, trong thêi gian </t>
  </si>
  <si>
    <t>b¶o hµnh s¶n phÈm, gi¸ trÞ lËp dù phßng b¶o hµnh kh«ng qu¸ 5% gi¸ trÞ Hîp ®ång.</t>
  </si>
  <si>
    <t xml:space="preserve">Trong kú, chi phÝ ®i vay ®Ó phôc vô s¶n xuÊt kinh doanh ®­îc h¹ch to¸n vµo kÕt qu¶n s¶n xuÊt  </t>
  </si>
  <si>
    <t>kinh doanh cña kú s¶n xuÊt Êy.</t>
  </si>
  <si>
    <t xml:space="preserve">C¸c lo¹i chi phÝ tr¶ tr­íc nÕu chØ liªn quan ®Õn n¨m tµi chÝnh hiÖn t¹i ®­îc ghi nhËn vµo chi phÝ  </t>
  </si>
  <si>
    <t>s¶n xuÊt kinh doanh trong n¨m tµi chÝnh.</t>
  </si>
  <si>
    <t xml:space="preserve">C¸c kho¶n dù phßng ph¶i tr¶ ®­îc ghi nhËn theo nguyªn t¾c: Doanh nghiÖp cã nghÜa vô nî hiÖn </t>
  </si>
  <si>
    <t xml:space="preserve">t¹i trªn c¬ së Hîp ®ång, c¸c cam kÕt rµng buéc. </t>
  </si>
  <si>
    <t xml:space="preserve">Sù gi¶m sót vÒ lîi Ých kinh tÕ cã thÓ x¶y ra dÉn ®Õn viÖc yªu cÇu ph¶i thanh to¸n nghÜa vô nî, tõ  </t>
  </si>
  <si>
    <t>®ã mét ­íc tÝnh ®¸ng tin cËy cho c¸c nghÜa vô nî ®­îc ®­a ra ®¶m b¶o.</t>
  </si>
  <si>
    <t xml:space="preserve">Gi¸ trÞ ®­îc ghi nhËn cña mét kho¶n dù phßng ph¶i tr¶ lµ gi¸ trÞ ­íc tÝnh hîp lý nhÊt vÒ kho¶n </t>
  </si>
  <si>
    <t>tiÒn sÏ ph¶i chi tr¶ ®Ó thanh to¸n nghÜa vô nî hiÖn t¹i t¹i ngµy kÕt thóc kú kÕ to¸n.</t>
  </si>
  <si>
    <t xml:space="preserve">+ PhÇn lín rñi ro vµ lîi Ých g¾n liÒn víi quyÒn së h÷u s¶n phÈm hoÆc hµng ho¸ vµ c¸c dÞch vô  </t>
  </si>
  <si>
    <t>cung cÊp ®· ®­îc chuyÓn giao cho ng­êi mua.</t>
  </si>
  <si>
    <t xml:space="preserve">+ C«ng ty kh«ng cßn n¾m gi÷ quyÒn qu¶n lý hµng ho¸ nh­ ng­êi së h÷u hµng ho¸ hoÆc quyÒn </t>
  </si>
  <si>
    <t>kiÓm so¸t, còng nh­ viÖc hoµn tÊt bµn giao c¸c dÞch vô cung cÊp.</t>
  </si>
  <si>
    <t xml:space="preserve">Doanh thu ph¸t sinh tõ tiÒn l·i, tiÒn b¶n quyÒn, cæ tøc, lîi nhuËn ®­îc chia vµ c¸c kho¶n doanh </t>
  </si>
  <si>
    <t>thu ho¹t ®éng tµi chÝnh kh¸c ®­îc ghi nhËn ®ång thêi tho¶ m·n 2 ®iÒu kiÖn sau:</t>
  </si>
  <si>
    <t xml:space="preserve">      TiÒn ký quü</t>
  </si>
  <si>
    <t xml:space="preserve">      TiÒn göi kú h¹n 01 th¸ng</t>
  </si>
  <si>
    <t>* Gi¸ trÞ ghi sæ cña hµng tån kho dïng ®Ó thÕ chÊp, cÇm cè ®¶m b¶o cho c¸c kho¶n nî ph¶i tr¶:</t>
  </si>
  <si>
    <t xml:space="preserve">* Gi¸ trÞ hoµn nhËp dù phßng gi¶m gi¸ hµng tån kho trong kú:                                  </t>
  </si>
  <si>
    <t>T¨ng kh¸c</t>
  </si>
  <si>
    <t>ChuyÓn sang B§S ®Çu t­</t>
  </si>
  <si>
    <t>+ B¶o hiÓm x· héi</t>
  </si>
  <si>
    <t>Sè d­ ®Çu n¨m tr­íc</t>
  </si>
  <si>
    <t>Sè d­ cuèi n¨m tr­íc</t>
  </si>
  <si>
    <t>Sè d­ ®Çu n¨m nay</t>
  </si>
  <si>
    <t>Sè d­ cuèi kú nµy</t>
  </si>
  <si>
    <t>Kú nµy</t>
  </si>
  <si>
    <t>+ Chi phÝ H§QT, BKS</t>
  </si>
  <si>
    <t>+ B¶o hiÓm XH, BHYT, BHTN, KPC§</t>
  </si>
  <si>
    <t>10.1. Lîi nhuËn n¨m tr­íc</t>
  </si>
  <si>
    <t>10.2. Lîi nhuËn n¨m nay</t>
  </si>
  <si>
    <t>(Ban hµnh theo Q§ sè 15/2006/Q§-BTC ngµy 20/3/2006)</t>
  </si>
  <si>
    <t>KÕt qu¶ ho¹t ®éng s¶n xuÊt kinh doanh</t>
  </si>
  <si>
    <t>§¬n vÞ tÝnh: §ång VN</t>
  </si>
  <si>
    <t xml:space="preserve">ChØ tiªu
</t>
  </si>
  <si>
    <t xml:space="preserve">M· sè
</t>
  </si>
  <si>
    <t>ThuyÕt</t>
  </si>
  <si>
    <t xml:space="preserve"> minh</t>
  </si>
  <si>
    <t>N¨m nay</t>
  </si>
  <si>
    <t>N¨m tr­íc</t>
  </si>
  <si>
    <t>1. Doanh thu b¸n hµng vµ CCDV</t>
  </si>
  <si>
    <t>01</t>
  </si>
  <si>
    <t>VI.25</t>
  </si>
  <si>
    <t>2. C¸c kho¶n gi¶m trõ</t>
  </si>
  <si>
    <t>02</t>
  </si>
  <si>
    <t>3. DT thuÇn vÒ b¸n hµng vµ CCDV</t>
  </si>
  <si>
    <t>4. Gi¸ vèn hµng b¸n</t>
  </si>
  <si>
    <t>VI.27</t>
  </si>
  <si>
    <t>5. Lîi nhuËn gép vÒ b¸n hµng vµ CCDV</t>
  </si>
  <si>
    <t>6. Doanh thu ho¹t ®éng tµi chÝnh</t>
  </si>
  <si>
    <t>VI.26</t>
  </si>
  <si>
    <t>7. Chi phÝ ho¹t ®éng tµi chÝnh</t>
  </si>
  <si>
    <t>VI.28</t>
  </si>
  <si>
    <t>8. Chi phÝ b¸n hµng</t>
  </si>
  <si>
    <t>VI.31</t>
  </si>
  <si>
    <t>9. Chi phÝ qu¶n lý doanh nghiÖp</t>
  </si>
  <si>
    <t>VI.32</t>
  </si>
  <si>
    <t>10. Lîi nhuËn tõ ho¹t ®éng SXKD</t>
  </si>
  <si>
    <t>11. Thu nhËp kh¸c</t>
  </si>
  <si>
    <t>12. Chi phÝ kh¸c</t>
  </si>
  <si>
    <t>13. Lîi nhuËn kh¸c</t>
  </si>
  <si>
    <t>14. Tæng lîi nhuËn kÕ to¸n tr­íc thuÕ</t>
  </si>
  <si>
    <t>15. Chi phÝ thuÕ TNDN hiÖn hµnh</t>
  </si>
  <si>
    <t>16. Chi phÝ thuÕ TNDN ho·n l¹i</t>
  </si>
  <si>
    <t>17. Lîi nhuËn sau thuÕ TNDN</t>
  </si>
  <si>
    <t>18. L·i c¬ b¶n trªn cæ phiÕu</t>
  </si>
  <si>
    <t>19. Thu nhËp trªn mçi cæ phiÕu</t>
  </si>
  <si>
    <t>Ghi chó</t>
  </si>
  <si>
    <t>B¶ng c©n ®èi kÕ to¸n</t>
  </si>
  <si>
    <t xml:space="preserve">                                     §¬n vÞ tÝnh: §ång VN</t>
  </si>
  <si>
    <t>Tµi s¶n</t>
  </si>
  <si>
    <t>M· sè</t>
  </si>
  <si>
    <t>T.minh</t>
  </si>
  <si>
    <t>Sè ®Çu n¨m</t>
  </si>
  <si>
    <t>QuÝ II</t>
  </si>
  <si>
    <t>QuÝ III/2001</t>
  </si>
  <si>
    <t>I. TiÒn vµ c¸c kho¶n t­¬ng ®­¬ng tiÒn</t>
  </si>
  <si>
    <t xml:space="preserve">1. TiÒn </t>
  </si>
  <si>
    <t>V.01</t>
  </si>
  <si>
    <t>2. C¸c kho¶n t­¬ng ®­¬ng tiÒn</t>
  </si>
  <si>
    <t>II. C¸c kho¶n ®Çu t­ tµi chÝnh ng¾n h¹n</t>
  </si>
  <si>
    <t>V.02</t>
  </si>
  <si>
    <t>1. §Çu t­  ng¾n h¹n</t>
  </si>
  <si>
    <t>2. Dù phßng gi¶m gi¸ chøng kho¸n ®Çu t­ ng¾n h¹n (*)</t>
  </si>
  <si>
    <t>III. C¸c kho¶n ph¶i thu</t>
  </si>
  <si>
    <t>1. Ph¶i thu cña kh¸ch hµng</t>
  </si>
  <si>
    <t>2. Tr¶ tr­íc cho ng­êi b¸n</t>
  </si>
  <si>
    <t>3. Ph¶i thu néi bé ng¾n h¹n</t>
  </si>
  <si>
    <t>4. Ph¶i thu theo tiÕn ®é kÕ ho¹ch Hîp ®ång XD</t>
  </si>
  <si>
    <t>5. C¸c kho¶n ph¶i thu kh¸c</t>
  </si>
  <si>
    <t>V.03</t>
  </si>
  <si>
    <t>6. Dù phßng c¸c kho¶n ph¶i thu khã ®ßi (*)</t>
  </si>
  <si>
    <t>IV. Hµng tån kho</t>
  </si>
  <si>
    <t>1. Hµng tån kho</t>
  </si>
  <si>
    <t>V.04</t>
  </si>
  <si>
    <t>2. Dù phßng gi¶m gi¸ hµng tån kho(*)</t>
  </si>
  <si>
    <t>V. Tµi s¶n ng¾n h¹n kh¸c</t>
  </si>
  <si>
    <t>1. Chi phÝ tr¶ tr­íc ng¾n h¹n</t>
  </si>
  <si>
    <t>2. ThuÕ GTGT ®­îc khÊu trõ</t>
  </si>
  <si>
    <t>2. C¸c kho¶n kh¸c ph¶i thu cña Nhµ n­íc</t>
  </si>
  <si>
    <t>V.05</t>
  </si>
  <si>
    <t>3. Tµi s¶n ng¾n h¹n kh¸c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</si>
  <si>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</si>
  <si>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</si>
  <si>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</si>
  <si>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</si>
  <si>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V.06</t>
  </si>
  <si>
    <t>4. Ph¶i thu dµi h¹n kh¸c</t>
  </si>
  <si>
    <t>V.07</t>
  </si>
  <si>
    <t>5. Dù phßng ph¶i thu dµi h¹n khã ®ßi (*)</t>
  </si>
  <si>
    <t>II. Tµi s¶n cè ®Þnh</t>
  </si>
  <si>
    <t>1. Tµi s¶n cè ®Þnh h÷u h×nh</t>
  </si>
  <si>
    <t>V.08</t>
  </si>
  <si>
    <t xml:space="preserve">                      Nguyªn gi¸</t>
  </si>
  <si>
    <t xml:space="preserve">                      Gi¸ trÞ hao mßn luü kÕ (*)</t>
  </si>
  <si>
    <t>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</si>
  <si>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</si>
  <si>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</si>
  <si>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</si>
  <si>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</si>
  <si>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</si>
  <si>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</si>
  <si>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</si>
  <si>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>+ Nguyªn gi¸</t>
  </si>
  <si>
    <t>+ G¸i trÞ hao mßn luü kÕ (*)</t>
  </si>
  <si>
    <t>IV. C¸c kho¶n ®Çu t­ tµi chÝnh dµi h¹n</t>
  </si>
  <si>
    <t>1. §Çu t­ vµo c«ng ty con</t>
  </si>
  <si>
    <t>2. §Çu t­ vµo c«ng ty liªn kÕt,  liªn doanh</t>
  </si>
  <si>
    <t>3. §Çu t­ dµi h¹n kh¸c</t>
  </si>
  <si>
    <t>V.13</t>
  </si>
  <si>
    <t>4. Dù phßng gi¶m gi¸ chøng kho¸n ®Çu t­ dµi h¹n (*)</t>
  </si>
  <si>
    <t>V. Tµi s¶n dµi h¹n kh¸c</t>
  </si>
  <si>
    <t>1. Chi phÝ tr¶ tr­íc dµi h¹n</t>
  </si>
  <si>
    <t>V.14</t>
  </si>
  <si>
    <t>2. Tµi s¶n thuÕ thu nhËp ho·n l¹i</t>
  </si>
  <si>
    <t>V.21</t>
  </si>
  <si>
    <t>3. Tµi s¶n dµi h¹n kh¸c</t>
  </si>
  <si>
    <t>Tæng céng tµi s¶n (270=100+200)</t>
  </si>
  <si>
    <t>Nguån vèn</t>
  </si>
  <si>
    <t>Sè cuèi kú</t>
  </si>
  <si>
    <t>Sè cuèi n¨m</t>
  </si>
  <si>
    <t>A. Nî ph¶i tr¶ (300 = 310 +320)</t>
  </si>
  <si>
    <t>I. Nî ng¾n h¹n</t>
  </si>
  <si>
    <t>1. Vay vµ nî ng¾n h¹n</t>
  </si>
  <si>
    <t>V.15</t>
  </si>
  <si>
    <t>2. Ph¶i tr¶ cho ng­êi b¸n</t>
  </si>
  <si>
    <t>3. Ng­êi mua tr¶ tiÒn tr­íc</t>
  </si>
  <si>
    <t>4. ThuÕ vµ c¸c kho¶n ph¶i nép nhµ n­íc</t>
  </si>
  <si>
    <t>V.16</t>
  </si>
  <si>
    <t>5. Ph¶i tr¶ ng­êi lao ®éng</t>
  </si>
  <si>
    <t>6. Chi phÝ ph¶i tr¶</t>
  </si>
  <si>
    <t>V.17</t>
  </si>
  <si>
    <t>7. Ph¶i tr¶ néi bé</t>
  </si>
  <si>
    <t>8. Ph¶i tr¶ theo tiÕn ®é Hîp ®ång XD</t>
  </si>
  <si>
    <t>9. C¸c kho¶n ph¶i tr¶, ph¶i nép ng¾n h¹n kh¸c</t>
  </si>
  <si>
    <t>V.18</t>
  </si>
  <si>
    <t>10. Dù phßng ph¶i tr¶ ng¾n h¹n</t>
  </si>
  <si>
    <t>II. Nî dµi h¹n</t>
  </si>
  <si>
    <t>1. Ph¶i tr¶ dµi h¹n nguêi b¸n</t>
  </si>
  <si>
    <t>2. Ph¶i tr¶ dµi h¹n néi bé</t>
  </si>
  <si>
    <t>V.19</t>
  </si>
  <si>
    <t>3. Ph¶i tr¶ dµi h¹n kh¸c</t>
  </si>
  <si>
    <t>4. Vay vµ nî dµi h¹n</t>
  </si>
  <si>
    <t>V.20</t>
  </si>
  <si>
    <t>5. ThuÕ thu nhËp ho·n l¹i ph¶i tr¶</t>
  </si>
  <si>
    <t>6. Dù phßng trî cÊp mÊt viÖc lµm</t>
  </si>
  <si>
    <t>7. Dù phßng ph¶i tr¶ dµi h¹n</t>
  </si>
  <si>
    <t>B. Vèn chñ së h÷u</t>
  </si>
  <si>
    <t>I. Vèn chñ së h÷u</t>
  </si>
  <si>
    <t>V.22</t>
  </si>
  <si>
    <t>1. Vèn ®Çu t­ cña chñ së h÷u</t>
  </si>
  <si>
    <t>2. ThÆng d­ vèn cæ phÇn</t>
  </si>
  <si>
    <t>3. Vèn kh¸c cña chñ së h÷u</t>
  </si>
  <si>
    <t>4. Cæ phiÕu ng©n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</si>
  <si>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</si>
  <si>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</si>
  <si>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</si>
  <si>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</si>
  <si>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</si>
  <si>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</si>
  <si>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</si>
  <si>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II. Nguån kinh phÝ, quü kh¸c</t>
  </si>
  <si>
    <t>Tæng céng nguån vèn (440=300+400)</t>
  </si>
  <si>
    <t>Gi¸m ®èc</t>
  </si>
  <si>
    <t>Luü kÕ n¨m</t>
  </si>
  <si>
    <t>ThuyÕt minh b¸o c¸o tµi chÝnh</t>
  </si>
  <si>
    <t>I. §Æc ®iÓm ho¹t ®éng cña doanh nghiÖp</t>
  </si>
  <si>
    <r>
      <t xml:space="preserve">2. LÜnh vùc kinh doanh: </t>
    </r>
    <r>
      <rPr>
        <i/>
        <sz val="12"/>
        <color indexed="12"/>
        <rFont val=".VnTime"/>
        <family val="2"/>
      </rPr>
      <t>C«ng nghiÖp c¬ khÝ chÕ t¹o, gia c«ng vµ l¾p ®Æt</t>
    </r>
  </si>
  <si>
    <r>
      <t>3. Ngµnh nghÒ kinh doanh:</t>
    </r>
    <r>
      <rPr>
        <i/>
        <sz val="12"/>
        <color indexed="12"/>
        <rFont val=".VnTime"/>
        <family val="2"/>
      </rPr>
      <t xml:space="preserve"> S¶n xuÊt, kinh doanh, XNK c¸c lo¹i m¸y b¬m, van n­íc, qu¹t c«ng</t>
    </r>
  </si>
  <si>
    <t>c«ng nghiÖp, tuèc bin n­íc, c¸c s¶n phÈm c¬ khÝ. Kinh doanh, xuÊt nhËp khÈu vËt t­, m¸y mãc thiÕt</t>
  </si>
  <si>
    <t>4. §Æc ®iÓm ho¹t ®éng kinh doanh cña DN trong kú kÕ to¸n cã ¶nh h­ëng ®Õn b¸o c¸o tµi chÝnh.</t>
  </si>
  <si>
    <t>II. Kú kÕ to¸n, ®¬n vÞ tiÒn tÖ sö dông trong kÕ to¸n.</t>
  </si>
  <si>
    <t>2. §¬n vÞ tiÒn tÖ sö dông trong ghi chÐp kÕ to¸n: §ång ViÖt nam</t>
  </si>
  <si>
    <t>III. ChuÈn mùc vµ chÕ ®é kÕ to¸n ¸p dông.</t>
  </si>
  <si>
    <t>2. Tuyªn bè vÒ tu©n thñ chuÈn mùc kÕ to¸n vµ chÕ ®é kÕ to¸n.</t>
  </si>
  <si>
    <t>Cam kÕt tu©n thñ, thùc hiÖn ®óng theo c¸c ChuÈn mùc kÕ to¸n vµ ChÕ ®é kÕ to¸n ViÖt Nam hiÖn hµnh.</t>
  </si>
  <si>
    <r>
      <t>3. H×nh thøc kÕ to¸n ¸p dông:</t>
    </r>
    <r>
      <rPr>
        <i/>
        <sz val="12"/>
        <color indexed="12"/>
        <rFont val=".VnTime"/>
        <family val="2"/>
      </rPr>
      <t xml:space="preserve"> NhËt ký chøng tõ</t>
    </r>
  </si>
  <si>
    <t>IV. C¸c chÝnh s¸ch kÕ to¸n ¸p dông.</t>
  </si>
  <si>
    <t>1. Nguyªn t¾c x¸c ®Þnh c¸c kho¶n tiÒn: TiÒn mÆt, tiÒn göi NH, tiÒn ®ang chuyÓn gåm:</t>
  </si>
  <si>
    <r>
      <t>+ Nguyªn t¾c x¸c ®Þnh kho¶n tiÒn t­¬ng ®­¬ng.</t>
    </r>
    <r>
      <rPr>
        <i/>
        <sz val="12"/>
        <color indexed="12"/>
        <rFont val=".VnTime"/>
        <family val="2"/>
      </rPr>
      <t xml:space="preserve"> Nguyªn t¾c gi¸ thùc tÕ, ®Ých danh</t>
    </r>
  </si>
  <si>
    <t>+ Nguyªn t¾c vµ ph­¬ng ph¸p chuyÓn ®æi c¸c ®ång tiÒn kh¸c ra ®ång tiÒn sö dông trong kÕ to¸n:</t>
  </si>
  <si>
    <t>C¸c nghiÖp vô kinh tÕ ph¸t sinh b»ng ngo¹i tÖ ®­îc quy ®æi ra ®ång ViÖt Nam theo tû gi¸ hèi ®o¸i do NH</t>
  </si>
  <si>
    <t>Nhµ n­íc c«ng bè t¹i thêi ®iÓm ph¸t sinh nghiÖp vô hoÆc t¹i c¸c thêi ®iÓm kÕt thóc niªn ®é, kú b¸o c¸o.</t>
  </si>
  <si>
    <t>2. Nguyªn t¾c ghi nhËn hµng tån kho:</t>
  </si>
  <si>
    <r>
      <t>2.1. Nguyªn t¾c ghi nhËn hµng tån kho:</t>
    </r>
    <r>
      <rPr>
        <i/>
        <sz val="12"/>
        <color indexed="12"/>
        <rFont val=".VnTime"/>
        <family val="2"/>
      </rPr>
      <t xml:space="preserve"> Theo nguyªn t¾c gi¸ gèc, gi¸ gèc hµng tån kho ®­îc x¸c ®Þnh  </t>
    </r>
  </si>
  <si>
    <r>
      <t>§èi víi b¸n thµnh phÈm dë dang cuèi kú:</t>
    </r>
    <r>
      <rPr>
        <i/>
        <sz val="12"/>
        <color indexed="12"/>
        <rFont val=".VnTime"/>
        <family val="2"/>
      </rPr>
      <t xml:space="preserve"> §­îc ®¸nh gi¸ theo ph­¬ng ph¸p chi phÝ nguyªn vËt liÖu chÝnh.</t>
    </r>
  </si>
  <si>
    <r>
      <t>2.2. Ph­¬ng ph¸p tÝnh gi¸ trÞ hµng tån kho:</t>
    </r>
    <r>
      <rPr>
        <i/>
        <sz val="12"/>
        <color indexed="12"/>
        <rFont val=".VnTime"/>
        <family val="2"/>
      </rPr>
      <t xml:space="preserve">  B×nh qu©n gia quyÒn trong kú h¹ch to¸n</t>
    </r>
  </si>
  <si>
    <r>
      <t>2.3. Ph­¬ng ph¸p h¹ch to¸n hµng tån kho:</t>
    </r>
    <r>
      <rPr>
        <i/>
        <sz val="12"/>
        <color indexed="12"/>
        <rFont val=".VnTime"/>
        <family val="2"/>
      </rPr>
      <t xml:space="preserve"> Kª khai th­êng xuyªn</t>
    </r>
  </si>
  <si>
    <r>
      <t>2.4. LËp dù phßng gi¶m gi¸ hµng tån kho:</t>
    </r>
    <r>
      <rPr>
        <i/>
        <sz val="12"/>
        <color indexed="12"/>
        <rFont val=".VnTime"/>
        <family val="2"/>
      </rPr>
      <t xml:space="preserve"> </t>
    </r>
  </si>
  <si>
    <t xml:space="preserve">Dù phßng gi¶m gi¸ hµng tån kho ®­îc lËp vµo thêi ®iÓm cuèi n¨m lµ sè chªnh lÖch gi÷a gi¸ gèc hµng tån </t>
  </si>
  <si>
    <t>kho lín h¬n gi¸ trÞ thuÇn cã thÓ thùc hiÖn ®­îc cña chóng.</t>
  </si>
  <si>
    <t>3. Nguyªn t¾c ghi nhËn vµ khÊu hao tµi s¶n cè ®Þnh, bÊt ®éng s¶n ®Çu t­.</t>
  </si>
  <si>
    <r>
      <t xml:space="preserve">3.1. Nguyªn t¾c ghi nhËn TSC§ h÷u h×nh, TSC§ v« h×nh: </t>
    </r>
    <r>
      <rPr>
        <i/>
        <sz val="12"/>
        <color indexed="12"/>
        <rFont val=".VnTime"/>
        <family val="2"/>
      </rPr>
      <t xml:space="preserve">Nguyªn t¾c gi¸ gèc. Trong qu¸ tr×nh sö dông tµi  </t>
    </r>
  </si>
  <si>
    <t>s¶n cè ®Þnh ®­îc ghi nhËn theo nguyªn gi¸, hao mßn luü kÕ vµ gi¸ trÞ cßn l¹i.</t>
  </si>
  <si>
    <r>
      <t>3.2. Nguyªn t¾c vµ ph­¬ng ph¸p khÊu hao TSC§ h÷u h×nh, TSC§ v« h×nh:</t>
    </r>
    <r>
      <rPr>
        <i/>
        <sz val="12"/>
        <color indexed="12"/>
        <rFont val=".VnTime"/>
        <family val="2"/>
      </rPr>
      <t xml:space="preserve"> </t>
    </r>
  </si>
  <si>
    <t xml:space="preserve">                            Nhµ cöa vËt kiÕn tróc</t>
  </si>
  <si>
    <t>06 - 25 n¨m</t>
  </si>
  <si>
    <t xml:space="preserve">                            M¸y mãc thiÕt bÞ</t>
  </si>
  <si>
    <t>05 - 10 n¨m</t>
  </si>
  <si>
    <t xml:space="preserve">                            Ph­¬ng tiÖn vËn t¶i</t>
  </si>
  <si>
    <t xml:space="preserve">                            ThiÕt bÞ v¨n phßng</t>
  </si>
  <si>
    <t>03 - 06 n¨m</t>
  </si>
  <si>
    <t>theo tiÕn ®é hîp ®ång x©y dùng vµ c¸c kho¶n ph¶i thu kh¸c t¹i thêi ®iÓm b¸o c¸o.</t>
  </si>
  <si>
    <t xml:space="preserve">* Cã thêi h¹n thu håi hoÆc thanh to¸n d­íi 01 n¨m (hoÆc trong 01 chu kú s¶n xuÊt kinh doanh) </t>
  </si>
  <si>
    <t>®­îc ph©n lo¹i lµ tµi s¶n ng¾n h¹n.</t>
  </si>
  <si>
    <t>C¸c kho¶n ®Çu t­ chøng kho¸n t¹i thêi ®iÓm b¸o c¸o.</t>
  </si>
  <si>
    <t>C¸c kho¶n ®Çu t­ kh¸c t¹i thêi ®iÓm b¸o c¸o.</t>
  </si>
  <si>
    <t>ViÖc vèn ho¸ chi phÝ ®i vay sÏ t¹m ngõng trong giai ®o¹n mµ qu¸ tr×nh ®Çu t­ gi¸n ®o¹n.</t>
  </si>
  <si>
    <t>ViÖc vèn ho¸ chi phÝ ®i vay sÏ chÊm døt khi viÖc ®Çu t­ hoµn thµnh hoÆc ®­a vµo sö dông .</t>
  </si>
  <si>
    <t xml:space="preserve">C¸c kho¶n thu nhËp ph¸t sinh do ®Çu t­ t¹m thêi, c¸c kho¶n vay riªng biÖt trong khi chê sö dông  </t>
  </si>
  <si>
    <t>vµo môc ®Ých cã ®­îc th× ph¶i gi¶m trõ vµo chi phÝ ®i vay ph¸t sinh khi vèn ho¸.</t>
  </si>
  <si>
    <t>Chi phÝ ®i vay ®­îc vèn ho¸ trong kú kh«ng ®­îc v­ît qu¸ tæng sè chi phÝ ®i vay ph¸t sinh trong kú.</t>
  </si>
  <si>
    <t xml:space="preserve">ViÖc tÝnh vµ ph©n bæ chi phÝ tr¶ tr­íc dµi h¹n vµo chi phÝ s¶n xuÊt kinh doanh tõng kú h¹ch to¸n </t>
  </si>
  <si>
    <t xml:space="preserve">          C«ng cô dông cô xuÊt dïng cã gi¸ trÞ lín.</t>
  </si>
  <si>
    <t xml:space="preserve">         Chi phÝ söa ch÷a lín tµi s¶n cè ®Þnh ph¸t sinh 1 lÇn qu¸ lín.</t>
  </si>
  <si>
    <t>+ Doanh thu ®­îc x¸c ®Þnh t­¬ng ®èi ch¾c ch¾n.</t>
  </si>
  <si>
    <t>+ C«ng ty ®· thu ®­îc hoÆc sÏ thu ®­îc lîi Ých kinh tÕ tõ giao dÞch kinh tÕ ®ã.</t>
  </si>
  <si>
    <t>+ X¸c ®Þnh ®­îc c¸c kho¶n chi phÝ liªn quan ®Õn giao dÞch kinh tÕ.</t>
  </si>
  <si>
    <t>+ Cã kh¶ n¨ng thu ®­îc lîi Ých tõ giao dÞch ®ã.</t>
  </si>
  <si>
    <t>thuÕ thu nhËp ho·n l¹i.</t>
  </si>
  <si>
    <t>VI- Th«ng tin bæ sung cho c¸c kho¶n môc tr×nh bµy trong B¶ng c©n ®èi kÕ to¸n.</t>
  </si>
  <si>
    <t xml:space="preserve">1- TiÒn                  </t>
  </si>
  <si>
    <t>+ TiÒn mÆt</t>
  </si>
  <si>
    <t>+ TiÒn göi ng©n hµng</t>
  </si>
  <si>
    <t>+ TiÒn ®ang chuyÓn</t>
  </si>
  <si>
    <t>Céng</t>
  </si>
  <si>
    <t>+ TiÒn göi ng¾n h¹n</t>
  </si>
  <si>
    <t>3- C¸c kho¶n ph¶i thu ng¾n h¹n kh¸c</t>
  </si>
  <si>
    <t>+ Ph¶i thu vÒ cæ phÇn ho¸</t>
  </si>
  <si>
    <t>+ Ph¶i thu kh¸c</t>
  </si>
  <si>
    <t>+ Hµng mua ®ang ®i trªn ®­êng</t>
  </si>
  <si>
    <t>+ Nguyªn liÖu, vËt liÖu</t>
  </si>
  <si>
    <t>+ C«ng cô, dông cô</t>
  </si>
  <si>
    <t>+ Thµnh phÈm</t>
  </si>
  <si>
    <t>+ Hµng ho¸</t>
  </si>
  <si>
    <t>+ Hµng göi ®i b¸n</t>
  </si>
  <si>
    <t>+ Dù phßng gi¶m gi¸ hµng tån kho</t>
  </si>
  <si>
    <t xml:space="preserve">Céng gi¸ gèc hµng tån kho </t>
  </si>
  <si>
    <t>5- ThuÕ vµ c¸c kho¶n ph¶i thu cña Nhµ n­íc</t>
  </si>
  <si>
    <t>M¸y mãc</t>
  </si>
  <si>
    <t>Ph­¬ng tiÖn</t>
  </si>
  <si>
    <t>ThiÕt bÞ</t>
  </si>
  <si>
    <t>TSC§</t>
  </si>
  <si>
    <t xml:space="preserve">Tæng </t>
  </si>
  <si>
    <t>Chi tiÕt</t>
  </si>
  <si>
    <t>Nhµ cöa</t>
  </si>
  <si>
    <t xml:space="preserve">vËn t¶i </t>
  </si>
  <si>
    <t>kh¸c</t>
  </si>
  <si>
    <t>céng</t>
  </si>
  <si>
    <t>truyÒn dÉn</t>
  </si>
  <si>
    <t>Nguyªn gi¸ TSC§ h÷u h×nh</t>
  </si>
  <si>
    <t>Sè d­ ®Çu kú</t>
  </si>
  <si>
    <t>+ Mua trong kú</t>
  </si>
  <si>
    <t>+ §Çu t­ XDCB hoµn thµnh</t>
  </si>
  <si>
    <t>+ T¨ng kh¸c</t>
  </si>
  <si>
    <t>+ ChuyÓn sang TSC§ v« h×nh</t>
  </si>
  <si>
    <t>+ Thanh lý, nh­îng b¸n</t>
  </si>
  <si>
    <t>+ Gi¶m kh¸c</t>
  </si>
  <si>
    <t>Sè d­ cuèi kú</t>
  </si>
  <si>
    <t>Gi¸ trÞ hao mßn luü kÕ</t>
  </si>
  <si>
    <t>KhÊu hao trong kú</t>
  </si>
  <si>
    <t>Thanh lý, nh­îng b¸n</t>
  </si>
  <si>
    <t>Gi¶m kh¸c</t>
  </si>
  <si>
    <t>Gi¸ trÞ cßn l¹i cña TSC§ HH</t>
  </si>
  <si>
    <t>T¹i ngµy ®Çu kú</t>
  </si>
  <si>
    <t>T¹i ngµy cuèi kú</t>
  </si>
  <si>
    <t xml:space="preserve">* Nguyªn gi¸ TSC§ cuèi n¨m chê thanh lý: </t>
  </si>
  <si>
    <t>* C¸c thay ®æi kh¸c vÒ TSC§ h÷u h×nh</t>
  </si>
  <si>
    <t>QuyÒn</t>
  </si>
  <si>
    <t>B¶n quyÒn,</t>
  </si>
  <si>
    <t>Nh·n</t>
  </si>
  <si>
    <t>Kho¶n môc</t>
  </si>
  <si>
    <t>sö dông</t>
  </si>
  <si>
    <t>b»ng</t>
  </si>
  <si>
    <t>hiÖu</t>
  </si>
  <si>
    <t>v« h×nh</t>
  </si>
  <si>
    <t>Tæng céng</t>
  </si>
  <si>
    <t>®Êt</t>
  </si>
  <si>
    <t>s¸ng chÕ</t>
  </si>
  <si>
    <t>hµng ho¸</t>
  </si>
  <si>
    <t>Nguyªn gi¸ TSC§ v« h×nh</t>
  </si>
  <si>
    <t>+ T¨ng tõ ®Çu t­ XDCB</t>
  </si>
  <si>
    <t>+ T¨ng do hîp nhÊt KD</t>
  </si>
  <si>
    <t>+ KhÊu hao trong kú</t>
  </si>
  <si>
    <t>Gi¸ trÞ cßn l¹i cña TSC§ VH</t>
  </si>
  <si>
    <t>+ T¹i ngµy ®Çu kú</t>
  </si>
  <si>
    <t>+ T¹i ngµy cuèi kú</t>
  </si>
  <si>
    <t>Chi tiÕt c«ng tr×nh</t>
  </si>
  <si>
    <t>+ TiÒn c­îc thuª gian hµng</t>
  </si>
  <si>
    <t>+ Kinh phÝ C«ng ®oµn</t>
  </si>
  <si>
    <t>+ Ph¶i tr¶ kh¸c -  TK 1388</t>
  </si>
  <si>
    <t>+ Ph¶i tr¶ vÒ quü Cæ phÇn ho¸ DN Nhµ n­íc</t>
  </si>
  <si>
    <t>a. B¶ng ®èi chiÕu biÕn ®éng cña vèn chñ së h÷u</t>
  </si>
  <si>
    <t>Vèn ®Çu t­</t>
  </si>
  <si>
    <t>ThÆng d­</t>
  </si>
  <si>
    <t>Vèn kh¸c</t>
  </si>
  <si>
    <t>Chªnh lÖch</t>
  </si>
  <si>
    <t xml:space="preserve">cña chñ </t>
  </si>
  <si>
    <t>vèn</t>
  </si>
  <si>
    <t>cña chñ</t>
  </si>
  <si>
    <t>®¸nh gi¸</t>
  </si>
  <si>
    <t>tû gi¸</t>
  </si>
  <si>
    <t>.......</t>
  </si>
  <si>
    <t>®Çu t­</t>
  </si>
  <si>
    <t>së h÷u</t>
  </si>
  <si>
    <t>cæ phÇn</t>
  </si>
  <si>
    <t>l¹i tµi s¶n</t>
  </si>
  <si>
    <t>hèi ®o¸i</t>
  </si>
  <si>
    <t>XDCB</t>
  </si>
  <si>
    <t>A</t>
  </si>
  <si>
    <t>+ T¨ng vèn trong n¨m tr­íc</t>
  </si>
  <si>
    <t>+ L·i trong n¨m tr­íc</t>
  </si>
  <si>
    <t>+ Gi¶m vèn trong n¨m tr­íc</t>
  </si>
  <si>
    <t>+ Lç trong n¨m tr­íc</t>
  </si>
  <si>
    <t>+ T¨ng vèn trong n¨m nay</t>
  </si>
  <si>
    <t>+ L·i trong n¨m nay</t>
  </si>
  <si>
    <t>+ Gi¶m vèn trong n¨m nay</t>
  </si>
  <si>
    <t>+ Lç trong n¨m nay</t>
  </si>
  <si>
    <t>§Çu n¨m</t>
  </si>
  <si>
    <t>e. C¸c quü cña doanh nghiÖp</t>
  </si>
  <si>
    <t>+ Quü ®Çu t­ ph¸t triÓn s¶n xuÊt</t>
  </si>
  <si>
    <t>+ Quü dù phßng tµi chÝnh</t>
  </si>
  <si>
    <t>VI. Th«ng tin bæ sung cho c¸c kho¶n môc tr×nh bµy trong b¸o c¸o kÕt qu¶ ho¹t ®éng SXKD</t>
  </si>
  <si>
    <t>- Doanh thu b¸n hµng ho¸</t>
  </si>
  <si>
    <t>- Doanh thu b¸n c¸c thµnh phÈm</t>
  </si>
  <si>
    <t>- Doanh thu cung cÊp dÞch vô</t>
  </si>
  <si>
    <t>- Hµng b¸n bÞ tr¶ l¹i</t>
  </si>
  <si>
    <t>Trong ®ã: - Doanh thu thuÇn trao ®æi hµng ho¸</t>
  </si>
  <si>
    <t>- Doanh thu thuÇn b¸n thµnh phÈm s¶n xuÊt</t>
  </si>
  <si>
    <t>- Doanh thu thuÇn trao ®æi dÞch vô</t>
  </si>
  <si>
    <t>+ Gi¸ vèn cña hµng ho¸ ®· b¸n</t>
  </si>
  <si>
    <t>+ Gi¸ vèn cña thµnh phÈm ®· b¸n</t>
  </si>
  <si>
    <t>+ L·i tiÒn göi, tiÒn cho vay</t>
  </si>
  <si>
    <t>+ L·i tiÒn vay</t>
  </si>
  <si>
    <t>+ TiÒn l­¬ng nh©n viªn b¸n hµng</t>
  </si>
  <si>
    <t>+ Chi khÊu hao TSC§</t>
  </si>
  <si>
    <t>+ Chi dÞch vô mua ngoµi</t>
  </si>
  <si>
    <t>+ Chi phÝ b¸n hµng trùc tiÕp</t>
  </si>
  <si>
    <t>+ Chi phÝ kh¸c phôc vô b¸n hµng</t>
  </si>
  <si>
    <t>+ TiÒn l­¬ng nh©n viªn qu¶n lý</t>
  </si>
  <si>
    <t>+ Chi nguyªn nhiªn vËt liÖu</t>
  </si>
  <si>
    <t>+ Chi ®å dïng v¨n phßng</t>
  </si>
  <si>
    <t>+ KhÊu hao TSC§</t>
  </si>
  <si>
    <t>+ ThuÕ, phÝ vµ lÖ phÝ</t>
  </si>
  <si>
    <t>+ Chi phÝ nguyªn vËt liÖu</t>
  </si>
  <si>
    <t>+ Chi phÝ nhiªn liÖu</t>
  </si>
  <si>
    <t>+ Chi phÝ tiÒn l­¬ng</t>
  </si>
  <si>
    <t>+ TiÒn ¨n ca</t>
  </si>
  <si>
    <r>
      <t>VIII- Nh÷ng th«ng tin kh¸c</t>
    </r>
    <r>
      <rPr>
        <sz val="12"/>
        <color indexed="12"/>
        <rFont val=".vntime"/>
        <family val="2"/>
      </rPr>
      <t>:</t>
    </r>
  </si>
  <si>
    <t>6- Tµi s¶n ng¾n h¹n kh¸c</t>
  </si>
  <si>
    <t>8 - C¸c kho¶n ph¶i thu dµi h¹n kh¸c</t>
  </si>
  <si>
    <t>7 - Ph¶i thu dµi h¹n néi bé</t>
  </si>
  <si>
    <t>9 - T¨ng, gi¶m tµi s¶n cè ®Þnh h÷u h×nh</t>
  </si>
  <si>
    <t>10 - T¨ng, gi¶m TSC§ thuª tµi chÝnh:</t>
  </si>
  <si>
    <t>11 - T¨ng, gi¶m tµi s¶n cè ®Þnh v« h×nh:</t>
  </si>
  <si>
    <t>+ Quü dù phßng trî cÊp mÊt viÖc lµm</t>
  </si>
  <si>
    <t>l¾p ®Æt c¸c c«ng tr×nh ®iÖn h¹ thÕ.</t>
  </si>
  <si>
    <t>+ C¸c kho¶n t­¬ng ®­¬ng tiÒn</t>
  </si>
  <si>
    <t>+ Gi¸ vèn cña dÞch vô cung cÊp</t>
  </si>
  <si>
    <t xml:space="preserve">               C«ng ty CP ChÕ T¹o B¬m h¶I D­¬ng</t>
  </si>
  <si>
    <t xml:space="preserve">                     Tel: 0320 3844876, Fax: 03203858606, Email: hpmchd@vnn.vn, Website: www.hpmc.com.vn</t>
  </si>
  <si>
    <t xml:space="preserve">                Sè 37 §¹i lé Hå ChÝ Minh - TP H¶i D­¬ng</t>
  </si>
  <si>
    <t>MÉu sè B01a-DN</t>
  </si>
  <si>
    <t xml:space="preserve">Sè cuèi kú </t>
  </si>
  <si>
    <t>bÞ, phô tïng phôc vô s¶n xu¸t kinh doanh cña c«ng ty; x©y l¾p, söa ch÷a c¸c c«ng tr×nh cÊp tho¸t n­íc</t>
  </si>
  <si>
    <t>c¸c hÖ thèng m¸y b¬m, van vµ c¸c s¶n phÈm kh¸c cña c«ng ty; chÕ t¹o, cung øng vËt t­, thiÕt bÞ vµ</t>
  </si>
  <si>
    <t>C«ng ty sö dông tÝnh khÊu hao theo ®­êng th¼ng víi thêi gian sö dông ­íc tÝnh nh­ sau:</t>
  </si>
  <si>
    <t xml:space="preserve">        Ph¶i thu kh¸c - TK 1388</t>
  </si>
  <si>
    <t>Cuèi kú</t>
  </si>
  <si>
    <t>+ Lix¨ng cña H§ trî gióp kü thuËt AVK</t>
  </si>
  <si>
    <t>VI.29</t>
  </si>
  <si>
    <t>VI.30</t>
  </si>
  <si>
    <t>11. Quü khen th­ëng, phóc lîi</t>
  </si>
  <si>
    <t>1. Nguån kinh phÝ</t>
  </si>
  <si>
    <t>2. Nguån kinh phÝ ®· h×nh thµnh TSC§</t>
  </si>
  <si>
    <r>
      <t xml:space="preserve">1. H×nh thøc së h÷u vèn: </t>
    </r>
    <r>
      <rPr>
        <i/>
        <sz val="12"/>
        <color indexed="12"/>
        <rFont val=".VnTime"/>
        <family val="2"/>
      </rPr>
      <t>Vèn cæ phÇn</t>
    </r>
  </si>
  <si>
    <t>* C¸c cam kÕt vÒ viÖc mua b¸n TSC§……</t>
  </si>
  <si>
    <t>+ Chi phÝ b¶o hµnh s¶n phÈm</t>
  </si>
  <si>
    <t>+ Chi phÝ dù phßng ph¶i thu khã ®ßi</t>
  </si>
  <si>
    <t>* Nguyªn gi¸ TSC§ cuèi kú ®·  
KH hÕt nh­ng vÉn cßn sö dông:</t>
  </si>
  <si>
    <t>+ Chi phÝ qu¶ng c¸o</t>
  </si>
  <si>
    <t xml:space="preserve">C¸c chi phÝ kh¸c phôc vô cho ho¹t ®éng ®Çu t­ x©y dùng c¬ b¶n, c¶i t¹o n©ng cÊp TSC§ trong  </t>
  </si>
  <si>
    <t>kú ®­îc vèn ho¸ vµo tµi s¶n cè ®Þnh ®ang ®­îc ®Çu t­, n©ng cÊp, c¶i t¹o ®ã.</t>
  </si>
  <si>
    <t xml:space="preserve">Chi phÝ tr¶ tr­íc ph©n bæ cho ho¹t ®éng ®Çu t­ x©y dùng c¬ b¶n, c¶i t¹o n©ng cÊp TSC§ trong  </t>
  </si>
  <si>
    <r>
      <t xml:space="preserve">B. Tµi s¶n  dµi h¹n </t>
    </r>
    <r>
      <rPr>
        <b/>
        <u/>
        <sz val="10"/>
        <color indexed="12"/>
        <rFont val=".VnTimeH"/>
        <family val="2"/>
      </rPr>
      <t>(200=210+220+240+250+260)</t>
    </r>
  </si>
  <si>
    <r>
      <t>A. Tµi s¶n ng¾n h¹n</t>
    </r>
    <r>
      <rPr>
        <b/>
        <u/>
        <sz val="11"/>
        <color indexed="12"/>
        <rFont val=".VnTimeH"/>
        <family val="2"/>
      </rPr>
      <t xml:space="preserve"> </t>
    </r>
    <r>
      <rPr>
        <b/>
        <u/>
        <sz val="10"/>
        <color indexed="12"/>
        <rFont val=".VnTimeH"/>
        <family val="2"/>
      </rPr>
      <t>(100 = 110+120+130+140+150)</t>
    </r>
  </si>
  <si>
    <t>Cho kú ho¹t ®éng tõ 01/10 ®Õn 31/12</t>
  </si>
  <si>
    <t>+ ThuÕ GTGT ®Çu ra</t>
  </si>
  <si>
    <t>+ C¸c kho¶n cÇm cè, ký c­îc, ký quü ng¾n h¹n</t>
  </si>
  <si>
    <t>+ C¸c kho¶n t¹m øng cña ng­êi lao ®éng</t>
  </si>
  <si>
    <t>+ Chi phÝ nhµ x­ëng cò lµm nhµ kho</t>
  </si>
  <si>
    <t>+ Chi phÝ b¶o tr× phÇn mÒm kÕ to¸n BRAVO</t>
  </si>
  <si>
    <t>+ Chi phÝ tr¶ tr­íc dµi h¹n kh¸c</t>
  </si>
  <si>
    <t>+ Vay ng¾n h¹n NH c«ng th­¬ng H¶i D­¬ng</t>
  </si>
  <si>
    <t xml:space="preserve">Kho¶n ®Çu t­ vµo C«ng ty con, C«ng ty liªn kÕt ®­îc kÕ to¸n theo Ph­¬ng ph¸p gi¸ gèc. Lîi nhuËn </t>
  </si>
  <si>
    <t xml:space="preserve">thuÇn ®­îc chia tõ C«ng ty con, C«ng ty liªn kÕt ph¸t sinh sau ngµy ®Çu t­ ®­îc ghi nhËn vµo B¸o </t>
  </si>
  <si>
    <t>Chi phÝ ®i vay liªn quan trùc tiÕp ®Õn viÖc ®Çu t­ x©y dùng hoÆc ®Çu t­ TSC§ ®­îc tÝnh th¼ng</t>
  </si>
  <si>
    <t>Cæ tøc, lîi nhuËn ®­îc ghi nhËn khi C«ng ty ®­îc quyÒn nhËn cæ tøc hoÆc lîi nhuËn tõ viÖc gãp vèn.</t>
  </si>
  <si>
    <t xml:space="preserve">+ TiÒn ký quü cña H§ ®¹i lý </t>
  </si>
  <si>
    <t xml:space="preserve">           KÕ to¸n tæng hîp           gi¸m ®èc tµi chÝnh        tæng gi¸m ®èc c«ng ty</t>
  </si>
  <si>
    <t xml:space="preserve">+ Cã thêi gian thu håi vèn d­íi 01 n¨m hoÆc trong 1 chu kú s¶n xuÊt kinh doanh ®­îc ph©n lo¹i </t>
  </si>
  <si>
    <t>+ Cho kh¸ch hµng vay ng¾n h¹n</t>
  </si>
  <si>
    <t>+ Ph¶i thu néi bé kh¸c (l­¬ng BH)</t>
  </si>
  <si>
    <t>(Theo ph­¬ng ph¸p trùc tiÕp)</t>
  </si>
  <si>
    <t xml:space="preserve">                      §¬n vÞ tÝnh: ®ång VN</t>
  </si>
  <si>
    <t>M·</t>
  </si>
  <si>
    <t>ThuyÕt
minh</t>
  </si>
  <si>
    <t>ChØ tiªu</t>
  </si>
  <si>
    <t>sè</t>
  </si>
  <si>
    <t>I- L­u chuyÓn tiÒn tõ ho¹t ®éng kinh doanh</t>
  </si>
  <si>
    <t>1.TiÒn thu tõ b¸n hµng, CCDV vµ doanh thu kh¸c</t>
  </si>
  <si>
    <t xml:space="preserve">2.TiÒn chi tr¶ cho ng­êi CC hµng ho¸ &amp; dÞch vô </t>
  </si>
  <si>
    <t>3.TiÒn chi tr¶ cho ng­êi lao ®éng</t>
  </si>
  <si>
    <t>03</t>
  </si>
  <si>
    <t>4.TiÒn chi tr¶ l·i vay</t>
  </si>
  <si>
    <t>04</t>
  </si>
  <si>
    <t>5.TiÒn chi nép thuÕ thu nhËp doanh nghiÖp</t>
  </si>
  <si>
    <t>05</t>
  </si>
  <si>
    <t>6.TiÒn thu kh¸c tõ ho¹t ®éng kinh doanh</t>
  </si>
  <si>
    <t>06</t>
  </si>
  <si>
    <t>7.TiÒn chi kh¸c cho ho¹t ®éng kinh doanh</t>
  </si>
  <si>
    <t>07</t>
  </si>
  <si>
    <t>L­u chuyÓn thuÇn tõ ho¹t ®éng SXKD</t>
  </si>
  <si>
    <t>II - L­u chuyÓn tõ ho¹t ®éng ®Çu t­</t>
  </si>
  <si>
    <t>2. TiÒn thu tõ TL, nh­îng b¸n TSC§ &amp; c¸c TSDH #</t>
  </si>
  <si>
    <t>3. TiÒn chi cho vay, mua s¾m c¸c CC nî cña §V #</t>
  </si>
  <si>
    <t>4. TiÒn thu håi cho vay, b¸n l¹i c¸c CC nî cña §V #</t>
  </si>
  <si>
    <t>5. TiÒn chi ®Çu t­ gãp vèn vµo ®¬n vÞ kh¸c</t>
  </si>
  <si>
    <t>6. TiÒn thu håi ®Çu t­ gãp vèn vµo ®¬n vÞ kh¸c</t>
  </si>
  <si>
    <t>7. TiÒn thu l·i vay, cæ tøc vµ lîi nhuËn ®­îc chia</t>
  </si>
  <si>
    <t>L­u chuyÓn thuÇn tõ ho¹t ®éng ®Çu t­</t>
  </si>
  <si>
    <t>III - L­u chuyÓn tiÒn tõ ho¹t ®éng tµi chÝnh</t>
  </si>
  <si>
    <t>1. TiÒn thu tõ p.hµnh CP, nhËn vèn gãp cña CSH</t>
  </si>
  <si>
    <t xml:space="preserve">   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</si>
  <si>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</si>
  <si>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</si>
  <si>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</si>
  <si>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</si>
  <si>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 xml:space="preserve">L­u chuyÓn tiÒn thuÇn tõ ho¹t ®éng tµi chÝnh </t>
  </si>
  <si>
    <t>L­u chuyÓn tiÒn thuÇn trong kú (50=20+30+40)</t>
  </si>
  <si>
    <t>TiÒn vµ t­¬ng ®­¬ng tiÒn ®Çu kú</t>
  </si>
  <si>
    <t>TiÒn &amp; t­¬ng ®­¬ng tiÒn cuèi kú (70=50+60+61)</t>
  </si>
  <si>
    <t>VII.34</t>
  </si>
  <si>
    <t xml:space="preserve">           (Ban hµnh theo Q§ sè 15/2006/Q§-BTC</t>
  </si>
  <si>
    <t xml:space="preserve">        MÉu sè B03a-DN</t>
  </si>
  <si>
    <t xml:space="preserve">           ngµy 20/03/2006 cña Bé tr­ëng BTC)</t>
  </si>
  <si>
    <t>1. Niªn ®é kÕ to¸n b¾t ®Çu tõ 01/01/2012 kÕt thóc 31/12/2012</t>
  </si>
  <si>
    <t>+ Chi phÝ s¶n xuÊt kinh doanh dë dang</t>
  </si>
  <si>
    <t>+ Chi phÝ XD nhµ m¸y c¬ khÝ, bÓ thö b¬m CSII</t>
  </si>
  <si>
    <t>+ Chi phÝ mua s¾m, l¾p ®Æt cÇu trôc 5T, 10T</t>
  </si>
  <si>
    <t>+ Mua s¾m, l¾p ®Æt tñ khëi ®éng, hÖ thèng ®iÖn</t>
  </si>
  <si>
    <t>+ D©y truyÒn t¸i sinh c¸t PX §óc</t>
  </si>
  <si>
    <t>+ Chi phÝ chung cña DA "§Çu t­ XD NM CTB HD"</t>
  </si>
  <si>
    <t>+ ThuÕ gi¸ trÞ gia t¨ng t¹i Tp HCM</t>
  </si>
  <si>
    <t>+ C­íc chuyÓn ph¸t nhanh th¸ng 12/11</t>
  </si>
  <si>
    <t>+ PhÝ vËn chuyÓn b¬m theo phô lôc ngµy 28/12/11</t>
  </si>
  <si>
    <t>+ B¶o hiÓm y tÕ</t>
  </si>
  <si>
    <t>+ B¶o hiÓm thÊt nghiÖp</t>
  </si>
  <si>
    <t xml:space="preserve">                        -   TK 3388</t>
  </si>
  <si>
    <t>12 - Chi phÝ x©y dùng c¬ b¶n dë dang</t>
  </si>
  <si>
    <t>13 - §Çu t­ dµi h¹n kh¸c</t>
  </si>
  <si>
    <t>14 - Chi phÝ tr¶ tr­íc dµi h¹n</t>
  </si>
  <si>
    <t>15 - Vay vµ nî ng¾n h¹n</t>
  </si>
  <si>
    <t>16 - ThuÕ vµ c¸c kho¶n ph¶i nép Nhµ n­íc</t>
  </si>
  <si>
    <t>17 -  Chi phÝ ph¶i tr¶</t>
  </si>
  <si>
    <t>18 -  C¸c kho¶n ph¶i tr¶, ph¶i nép ng¾n h¹n kh¸c</t>
  </si>
  <si>
    <t>19 - Ph¶i tr¶ dµi h¹n néi bé</t>
  </si>
  <si>
    <t>20 -  Vay vµ nî dµi h¹n</t>
  </si>
  <si>
    <t>22 -  Vèn chñ së h÷u</t>
  </si>
  <si>
    <t>23 -  Nguån kinh phÝ</t>
  </si>
  <si>
    <t>24 -  Tµi s¶n thuª ngoµi</t>
  </si>
  <si>
    <t>25 -  Tæng doanh thu b¸n hµng vµ cung cÊp dÞch vô</t>
  </si>
  <si>
    <t>26 -  C¸c kho¶n gi¶m trõ doanh thu</t>
  </si>
  <si>
    <t>27 -  Doanh thu thuÇn vÒ b¸n hµng vµ cung cÊp DV</t>
  </si>
  <si>
    <t>28 -  Gi¸ vèn hµng b¸n</t>
  </si>
  <si>
    <t>29 -  Doanh thu ho¹t ®éng tµi chÝnh</t>
  </si>
  <si>
    <t>30 -  Chi phÝ ho¹t ®éng tµi chÝnh</t>
  </si>
  <si>
    <t>31 -  Chi phÝ b¸n hµng</t>
  </si>
  <si>
    <t>32 - Chi phÝ qu¶n lý</t>
  </si>
  <si>
    <r>
      <t xml:space="preserve">b¸o c¸o L­u chuyÓn tiÒn tÖ  </t>
    </r>
    <r>
      <rPr>
        <b/>
        <sz val="15"/>
        <rFont val=".VnTime"/>
        <family val="2"/>
      </rPr>
      <t xml:space="preserve"> </t>
    </r>
  </si>
  <si>
    <r>
      <t>¶</t>
    </r>
    <r>
      <rPr>
        <sz val="11"/>
        <rFont val=".VnArial Narrow"/>
        <family val="2"/>
      </rPr>
      <t>nh h­ëng cña thay ®æi TGH§ quy ®æi ngo¹i tÖ</t>
    </r>
  </si>
  <si>
    <t xml:space="preserve">              C«ng ty CP ChÕ T¹o B¬m h¶I D­¬ng</t>
  </si>
  <si>
    <t>+ ThuÕ TNCN nép thõa</t>
  </si>
  <si>
    <t>+ Vay ng¾n h¹n Tæng Cty CP TB§ ViÖt Nam</t>
  </si>
  <si>
    <t>+ L·i chªnh lÖch tû gi¸ ngo¹i tÖ</t>
  </si>
  <si>
    <t>+ ChiÕt khÊu b¸n hµng</t>
  </si>
  <si>
    <t>Cho kú ho¹t ®éng tõ 01/04 ®Õn 30/06</t>
  </si>
  <si>
    <t>Luü kÕ</t>
  </si>
  <si>
    <t xml:space="preserve">           KÕ to¸n tæng hîp                         gi¸m ®èc tµi chÝnh                          tæng gi¸m ®èc c«ng ty</t>
  </si>
  <si>
    <t>KÕ to¸n tæng hîp                     gi¸m ®èc tµi chÝnh                     tæng gi¸m ®èc c«ng ty</t>
  </si>
  <si>
    <t xml:space="preserve">  NguyÔn ThÞ Thu Thuû                               Bïi ThÞ LÖ Thuû                                      NguyÔn Träng Nam</t>
  </si>
  <si>
    <t>Luü kÕ tõ ®Çu n¨m</t>
  </si>
  <si>
    <t xml:space="preserve">             NguyÔn ThÞ Thu Thuû                  Bïi ThÞ LÖ Thuû                          NguyÔn Träng Nam                     </t>
  </si>
  <si>
    <t>+ Nhµ ¨n ca t¹m cña C«ng ty t¹i CS II</t>
  </si>
  <si>
    <t xml:space="preserve">+ Nhµ lµm viÖc t¹m khèi v¨n phßng t¹i CS II </t>
  </si>
  <si>
    <t>+ Nhµ vÖ sinh cña khèi v¨n phßng t¹m t¹i CS II</t>
  </si>
  <si>
    <t>2- C¸c kho¶n ®Çu t­ tµi chÝnh ng¾n h¹n</t>
  </si>
  <si>
    <t xml:space="preserve">vµo gi¸ trÞ c«ng tr×nh, tµi s¶n, bao gåm c¸c kho¶n l·i tiÒn vay, c¸c kho¶n chiÕt khÊu hoÆc phô  </t>
  </si>
  <si>
    <t>tréi khi ph¸t hµnh tr¸i phiÕu, c¸c kho¶n chi phÝ ph¸t sinh liªn quan tíi qu¸ tr×nh lµm thñ tôc vay.</t>
  </si>
  <si>
    <t>nhËn lµ chi phÝ tr¶ tr­íc ng¾n h¹n</t>
  </si>
  <si>
    <t xml:space="preserve">- C¸c chi phÝ tr¶ tr­íc liªn quan ®Õn chi phÝ s¶n xuÊt kinh doanh n¨m tµi chÝnh hiÖn t¹i ®­îc ghi   </t>
  </si>
  <si>
    <t>dµi h¹n ph©n bæ dÇn vµo kÕt qu¶ ho¹t ®éng kinh doanh:</t>
  </si>
  <si>
    <t xml:space="preserve">- C¸c chi phÝ sau ®©y ®· ph¸t sinh trong n¨m tµi chÝnh nh­ng ®­îc h¹ch to¸n vµo chi phÝ tr¶ tr­íc </t>
  </si>
  <si>
    <r>
      <t>1. ChÕ ®é kÕ to¸n ¸p dông:</t>
    </r>
    <r>
      <rPr>
        <i/>
        <sz val="12"/>
        <color indexed="12"/>
        <rFont val=".VnTime"/>
        <family val="2"/>
      </rPr>
      <t xml:space="preserve"> </t>
    </r>
    <r>
      <rPr>
        <i/>
        <sz val="12"/>
        <color indexed="12"/>
        <rFont val=".VnTimeH"/>
        <family val="2"/>
      </rPr>
      <t>¸</t>
    </r>
    <r>
      <rPr>
        <i/>
        <sz val="12"/>
        <color indexed="12"/>
        <rFont val=".VnTime"/>
        <family val="2"/>
      </rPr>
      <t>p dông chÕ ®é kÕ to¸n ViÖt Nam ban hµnh theo quyÕt ®Þnh sè 15/2006/Q§</t>
    </r>
  </si>
  <si>
    <t xml:space="preserve">-BTC ngµy 20/03/2006, quyÕt ®Þnh sè 244/2009/Q§-BTC ngµy 31/12/2009, LuËt kÕ to¸n  2003, c¸c </t>
  </si>
  <si>
    <t>chuÈn mùc kÕ to¸n ViÖt Nam do Bé Tµi chÝnh ban hµnh c¸c v¨n b¶n h­íng dÉn  thùc hiÖn kÌm theo.</t>
  </si>
  <si>
    <t>4. Nguyªn t¾c ghi nhËn c¸c kho¶n ph¶i thu th­¬ng m¹i vµ ph¶i thu kh¸c</t>
  </si>
  <si>
    <r>
      <t xml:space="preserve">4.1. Nguyªn t¾c ghi nhËn: </t>
    </r>
    <r>
      <rPr>
        <i/>
        <sz val="12"/>
        <color indexed="12"/>
        <rFont val=".VnTime"/>
        <family val="2"/>
      </rPr>
      <t xml:space="preserve">C¸c kho¶n ph¶i thu cña kh¸ch hµng, kho¶n tr¶ tr­íc cho ng­êi b¸n, ph¶i thu  </t>
    </r>
  </si>
  <si>
    <t>4.2. LËp dù phßng ph¶i thu:</t>
  </si>
  <si>
    <t>5. Nguyªn t¾c ghi nhËn vµ khÊu hao bÊt ®éng s¶n ®Çu t­.</t>
  </si>
  <si>
    <t>6. Nguyªn t¾c ghi nhËn c¸c kho¶n ®Çu t­ tµi chÝnh.</t>
  </si>
  <si>
    <t>6.1. Nguyªn t¾c ghi nhËn c¸c kho¶n ®Çu t­ vµo c«ng ty con, c«ng ty liªn kÕt.</t>
  </si>
  <si>
    <t>6.2. Nguyªn t¾c ghi nhËn c¸c kho¶n ®Çu t­ chøng kho¸n ng¾n h¹n, dµi h¹n.</t>
  </si>
  <si>
    <t>6.3. Nguyªn t¾c ghi nhËn c¸c kho¶n ®Çu t­  ng¾n h¹n, dµi h¹n kh¸c.</t>
  </si>
  <si>
    <t>6.4. Ph­¬ng ph¸p lËp dù phßng gi¶m gi¸ ®Çu t­ chøng kho¸n ng¾n h¹n, dµi h¹n.</t>
  </si>
  <si>
    <t>6.5. Ph­¬ng ph¸p ghi nhËn lËp dù phßng b¶o hµnh s¶n phÈm.</t>
  </si>
  <si>
    <t>7. Nguyªn t¾c vèn ho¸ c¸c kho¶n chi phÝ ®i vay vµ c¸c kho¶n chi phÝ kh¸c.</t>
  </si>
  <si>
    <t>7.1. Nguyªn t¾c vèn ho¸ c¸c kho¶n chi phÝ ®i vay.</t>
  </si>
  <si>
    <t>7.2. Tû lÖ vèn ho¸ chi phÝ ®i vay ®­îc sö dông ®Ó x¸c ®Þnh chi phÝ ®i vay ®­îc vèn ho¸ trong kú</t>
  </si>
  <si>
    <t>8. Nguyªn t¾c ghi nhËn vµ vèn ho¸ c¸c kho¶n chi phÝ kh¸c:</t>
  </si>
  <si>
    <t>8.1. Chi phÝ tr¶ tr­íc</t>
  </si>
  <si>
    <t>8.2. Chi phÝ kh¸c</t>
  </si>
  <si>
    <t>8.3. Ph­¬ng ph¸p ph©n bæ chi phÝ tr¶ tr­íc:</t>
  </si>
  <si>
    <t>9. Nguyªn t¾c ghi nhËn chi phÝ tr¶ tr­íc</t>
  </si>
  <si>
    <t>10. Nguyªn t¾c vµ ph­¬ng ph¸p ghi nhËn c¸c kho¶n dù phßng ph¶i tr¶.</t>
  </si>
  <si>
    <t>10.1. Nguyªn t¾c ghi nhËn</t>
  </si>
  <si>
    <t>10.2. Ph­¬ng ph¸p ghi nhËn</t>
  </si>
  <si>
    <t>11. Nguyªn t¾c ghi nhËn vèn chñ së h÷u:</t>
  </si>
  <si>
    <t>12. Nguyªn t¾c vµ ph­¬ng ph¸p ghi nhËn doanh thu:</t>
  </si>
  <si>
    <t>12.1. Doanh thu b¸n hµng vµ cung cÊp dÞch vô ®­îc ghi nhËn khi ®ång thêi tho¶ m·n c¸c ®iÒu kiÖn sau:</t>
  </si>
  <si>
    <t>12.2. Doanh thu ho¹t ®éng tµi chÝnh</t>
  </si>
  <si>
    <t>13. Nguyªn t¾c vµ ph­¬ng ph¸p ghi nhËn chi phÝ tµi chÝnh</t>
  </si>
  <si>
    <t xml:space="preserve">14. Nguyªn t¾c vµ ph­¬ng ph¸p ghi nhËn chi phÝ thuÕ thu nhËp doanh nghiÖp hiÖn hµnh, chi phÝ </t>
  </si>
  <si>
    <t>15. C¸c nghiÖp vô dù phßng rñi ro hèi ®o¸i.</t>
  </si>
  <si>
    <t>16. C¸c nguyªn t¾c vµ ph­¬ng ph¸p kÕ to¸n kh¸c.</t>
  </si>
  <si>
    <t>4 -  Hµng tån kho</t>
  </si>
  <si>
    <t>Vèn chñ së h÷u ®­îc ghi nhËn trªn nguyªn t¾c mÖnh gi¸ vèn ®Çu t­ cæ phÇn vµ thÆng d­ cæ phÇn.</t>
  </si>
  <si>
    <t xml:space="preserve">           KÕ to¸n tæng hîp           gi¸m ®èc tµi chÝnh         tæng gi¸m ®èc c«ng ty</t>
  </si>
  <si>
    <t xml:space="preserve">            NguyÔn ThÞ Thu Thuû                     Bïi ThÞ LÖ Thuû                         NguyÔn Träng Nam</t>
  </si>
  <si>
    <t>+ L·i ký quü c¸c hîp ®ång ®¹i lý</t>
  </si>
  <si>
    <t xml:space="preserve">2. TiÒn chi tr¶ vèn gãp cho c¸c CSH, mua l¹i CP </t>
  </si>
  <si>
    <t>+ TiÒn thuª ®Êt n¨m 2012</t>
  </si>
  <si>
    <t>+ CÇu trôc ch©n quú 1 tÊn sè 1 NMCK CS II</t>
  </si>
  <si>
    <t>+ CÇu trôc ch©n quú 1 tÊn sè 2 NMCK CS II</t>
  </si>
  <si>
    <t>+ Nhµ nÐn khÝ x­ëng §óc</t>
  </si>
  <si>
    <t>Cho kú ho¹t ®éng tõ 01/07 ®Õn 30/09</t>
  </si>
  <si>
    <t>1. TiÒn chi ®Ó mua s¾m, XD TSC§ vµ c¸c TSDH #</t>
  </si>
  <si>
    <t>H¶i D­¬ng, ngµy  09 th¸ng 10 n¨m 2012</t>
  </si>
  <si>
    <t xml:space="preserve">                 Tel: 0320 3844876, Fax: 03203858606, Email: hpmchd@vnn.vn</t>
  </si>
  <si>
    <t xml:space="preserve">             Sè 37 §¹i lé Hå ChÝ Minh - TP H¶i D­¬ng</t>
  </si>
  <si>
    <t>+ Lç chªnh lÖch tû gi¸ ®· thùc hiÖn</t>
  </si>
  <si>
    <t>dông cô</t>
  </si>
  <si>
    <t>qu¶n lý</t>
  </si>
  <si>
    <t xml:space="preserve">PhÇn mÒm </t>
  </si>
  <si>
    <t>m¸y</t>
  </si>
  <si>
    <t>vi tÝnh</t>
  </si>
  <si>
    <t>Cæ</t>
  </si>
  <si>
    <t>phiÕu</t>
  </si>
  <si>
    <t>quü</t>
  </si>
  <si>
    <t>QuÝ IV n¨m 2012</t>
  </si>
  <si>
    <t>+ CÇu trôc ch©n quú 2 tÊn sè 2 NM C¬ khÝ CSII</t>
  </si>
  <si>
    <t xml:space="preserve">+ Phßng thö c©n b»ng ®éng                                         </t>
  </si>
  <si>
    <t>+ M¸y tiÖn ®øng 2 trô 2 ®Çu dao NMCK CS II</t>
  </si>
  <si>
    <t xml:space="preserve">+ Nhµ kho X­ëng C¬ khÝ                                            </t>
  </si>
  <si>
    <t xml:space="preserve">+ Nhµ thay ®å X­ëng §óc CSII    </t>
  </si>
  <si>
    <t xml:space="preserve">+ Lß nung ®iÖn trë (trän bé)                                      </t>
  </si>
  <si>
    <t xml:space="preserve">+ B·i ®Ó xØ lß sau x­ëng §óc               </t>
  </si>
  <si>
    <t>+ ThuÕ gi¸ trÞ gia t¨ng t¹i Tp Hµ Néi</t>
  </si>
  <si>
    <t>+ L·i ph¶i tr¶ tiÒn ký quü cña ®¹i lý Phóc H¶i</t>
  </si>
  <si>
    <t>+ PhÝ kiÓm to¸n BCTC n¨m 2011</t>
  </si>
  <si>
    <t>+ PhÝ kiÓm to¸n BCTC n¨m 2012</t>
  </si>
  <si>
    <t>T¹i ngµy 31 th¸ng 12 n¨m 2012</t>
  </si>
  <si>
    <t>8. Doanh thu ch­a thùc hiÖn</t>
  </si>
  <si>
    <t xml:space="preserve">       Ph¶i thu kh¸c - TK 338 </t>
  </si>
  <si>
    <t xml:space="preserve">                        -   TK 141</t>
  </si>
  <si>
    <t xml:space="preserve">                               H¶i D­¬ng, ngµy  09 th¸ng 01 n¨m 2013</t>
  </si>
  <si>
    <t xml:space="preserve">   H¶i D­¬ng, ngµy  09 th¸ng 01 n¨m 2013</t>
  </si>
  <si>
    <t>N¨m 2012</t>
  </si>
  <si>
    <t>N¨m 2011</t>
  </si>
  <si>
    <t xml:space="preserve">        Trong ®ã: Chi phÝ l·i vay ph¶i tr¶</t>
  </si>
  <si>
    <t>H¶i D­¬ng, ngµy 09 th¸ng 01 n¨m 2013</t>
  </si>
  <si>
    <t xml:space="preserve">             NguyÔn ThÞ Thu Thuû                                  Bïi ThÞ LÖ Thuû                                           NguyÔn Träng Nam</t>
  </si>
  <si>
    <t xml:space="preserve">      H¶i D­¬ng, ngµy 09 th¸ng 01 n¨m 2013</t>
  </si>
  <si>
    <r>
      <t xml:space="preserve">                     Tel: 0320 3844876, Fax: 03203858606, Email: hpmchd@vnn.vn, Website: www.hpmc.com.vn                                  </t>
    </r>
    <r>
      <rPr>
        <sz val="8"/>
        <rFont val=".vntime"/>
        <family val="2"/>
      </rPr>
      <t xml:space="preserve"> </t>
    </r>
    <r>
      <rPr>
        <i/>
        <sz val="8"/>
        <rFont val=".vntime"/>
        <family val="2"/>
      </rPr>
      <t xml:space="preserve"> cña Bé tr­ëng BTC)</t>
    </r>
  </si>
  <si>
    <t xml:space="preserve">                 C«ng ty CP ChÕ T¹o B¬m h¶I D­¬ng                                                                </t>
  </si>
  <si>
    <t xml:space="preserve">MÉu sè B03-DN     </t>
  </si>
  <si>
    <t>Chªnh lÖch tû gi¸ thùc tÕ ph¸t sinh ®­îc kÕt chuyÓn vµo doanh thu hoÆc chi phÝ tµi chÝnh trong n¨m tµi chÝnh.</t>
  </si>
  <si>
    <r>
      <t xml:space="preserve"> Thùc hiÖn Th«ng t­  203/2009/TT-BTC ngµy 20/10/2009 cña Bé Tµi chÝnh, h­íng </t>
    </r>
    <r>
      <rPr>
        <i/>
        <sz val="12"/>
        <color indexed="12"/>
        <rFont val="Times New Roman"/>
        <family val="1"/>
      </rPr>
      <t>dẫn chế độ quản lý, sử
 dụng và trích khấu hao tài sản cố định.</t>
    </r>
  </si>
  <si>
    <t>®­îc c¨n cø vµo tÝnh chÊt, møc ®é tõng lo¹i chi phÝ ®Ó chän ph­¬ng ph¸p vµ tiªu thøc ph©n bæ hîp lý.</t>
  </si>
  <si>
    <t>thiÕt</t>
  </si>
  <si>
    <t>bÞ</t>
  </si>
  <si>
    <t xml:space="preserve">                        C«ng ty CP ChÕ T¹o B¬m h¶I D­¬ng</t>
  </si>
  <si>
    <t xml:space="preserve">                        Sè 37 §¹i lé Hå ChÝ Minh - TP H¶i D­¬ng</t>
  </si>
  <si>
    <t>(Ban hµnh theo Q§ sè 15/2006/Q§-BTC</t>
  </si>
  <si>
    <t>MÉu sè B02a-DN</t>
  </si>
  <si>
    <t>ngµy 20/03/2006 cña Bé tr­ëng BTC)</t>
  </si>
  <si>
    <t xml:space="preserve">                       Tel: 0320 3844876, Fax: 03203858606, Email: hpmchd@vnn.vn, Website: www.hpmc.com.vn</t>
  </si>
  <si>
    <t>+ L·i vay cßn ph¶i tr¶ Tæng Cty CP TB§ VN ®Õn 31/12</t>
  </si>
  <si>
    <t>+ L·i vay NH C«ng th­¬ng HD cßn ph¶i tr¶ ®Õn 31/12</t>
  </si>
  <si>
    <t>+ Cæ tøc ph¶i tr¶ n¨m 2012 (17%) cho cæ ®«ng T« TuÊn</t>
  </si>
  <si>
    <t>+ TiÒn vay dµi h¹n NHCT ®Õn h¹n ph¶i tr¶ n¨m 2013</t>
  </si>
  <si>
    <t>Thử</t>
  </si>
  <si>
    <t>Năm nay</t>
  </si>
  <si>
    <t>Đàu năm</t>
  </si>
  <si>
    <t>VI.33</t>
  </si>
  <si>
    <t>VI.34</t>
  </si>
  <si>
    <t>Kho¶n thu tõ hoµn nhËp quü trî cÊp mÊt viÖc lµm</t>
  </si>
  <si>
    <t>TiÒn thu tõ b¸n hå s¬ thÇu, QT b¶o hiÓm</t>
  </si>
  <si>
    <t>TiÒn båi th­êng do vi ph¹m tiÕn ®é cung cÊp hµng</t>
  </si>
  <si>
    <t>Hç trî XD n«ng th«n míi theo Q§ 717 cña tØnh Th¸i B×nh</t>
  </si>
  <si>
    <t>35.1- Chi phÝ nguyªn liÖu, vËt liÖu</t>
  </si>
  <si>
    <t>35.2- Chi phÝ nh©n c«ng</t>
  </si>
  <si>
    <t>35.3- Chi phÝ khÊu hao tµi s¶n cè ®Þnh</t>
  </si>
  <si>
    <t>35.4- ThuÕ phÝ vµ lÖ phÝ</t>
  </si>
  <si>
    <t>35.5- Chi phÝ dÞch vô mua ngoµi</t>
  </si>
  <si>
    <t>35.6- Chi phÝ kh¸c</t>
  </si>
  <si>
    <t>35 - Chi phÝ s¶n xuÊt KD theo yÕu tè</t>
  </si>
  <si>
    <t>33 - Thu nhËp vµ chi phÝ kh¸c</t>
  </si>
  <si>
    <t>33.1. Thu nhËp kh¸c</t>
  </si>
  <si>
    <t>33.2. Chi phÝ kh¸c</t>
  </si>
  <si>
    <t>34 - Chi phÝ thuÕ thu nhËp hiÖn hµnh</t>
  </si>
  <si>
    <t>CP thuÕ tõ c¸c kho¶n chi lo¹i trõ vµ doanh thu tÝnh tr­íc</t>
  </si>
  <si>
    <t>CP thuÕ tõ lîi nhuËn kÕ to¸n tr­íc thuÕ</t>
  </si>
  <si>
    <t xml:space="preserve"> (Ban hµnh theo Q§ sè 15/2006/Q§-BTCngµy 20/3/2006)</t>
  </si>
  <si>
    <t xml:space="preserve"> cña Bé tr­ëng BTC)</t>
  </si>
  <si>
    <t xml:space="preserve">                       Sè 37 §¹i lé Hå ChÝ Minh - TP H¶i D­¬ng</t>
  </si>
  <si>
    <t>+ Vay dµi h¹n Ng©n hµng TMCP c«ng th­¬ng ch­a ®Õn h¹n</t>
  </si>
  <si>
    <t>20.a- Vay dµi h¹n</t>
  </si>
  <si>
    <t>20.b- Nî dµi h¹n</t>
  </si>
  <si>
    <t xml:space="preserve">        C«ng ty CP ChÕ T¹o B¬m H¶i D­¬ng</t>
  </si>
  <si>
    <t>MÉu CBTT-03</t>
  </si>
  <si>
    <t xml:space="preserve">        Sè 37 §¹i lé Hå ChÝ Minh - TP H¶i D­¬ng</t>
  </si>
  <si>
    <t xml:space="preserve">                                     C«ng ty</t>
  </si>
  <si>
    <t xml:space="preserve">       §iÖn tho¹i: 0320 3844 876/ 3853 496;  Fax: 0320 3585 606;  Email: hpmchd@vnn.vn</t>
  </si>
  <si>
    <t xml:space="preserve">                      CP ChÕ T¹o B¬m H¶i D­¬ng</t>
  </si>
  <si>
    <t>B¸o c¸o tµi chÝnh tãm t¾t</t>
  </si>
  <si>
    <t>I.A. B¶ng c©n ®èi kÕ to¸n</t>
  </si>
  <si>
    <t>STT</t>
  </si>
  <si>
    <t>Néi dung</t>
  </si>
  <si>
    <t xml:space="preserve">Số dư đầu kỳ </t>
  </si>
  <si>
    <t xml:space="preserve">Số dư cuối kỳ </t>
  </si>
  <si>
    <t>I</t>
  </si>
  <si>
    <t>Tµi s¶n ng¾n h¹n</t>
  </si>
  <si>
    <t>TiÒn vµ c¸c kho¶n tiÒn t­¬ng ®­¬ng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</si>
  <si>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</si>
  <si>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</si>
  <si>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</si>
  <si>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</si>
  <si>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</si>
  <si>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</si>
  <si>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</si>
  <si>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</si>
  <si>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</si>
  <si>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</si>
  <si>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</si>
  <si>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</si>
  <si>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</si>
  <si>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</si>
  <si>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</si>
  <si>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</si>
  <si>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</si>
  <si>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</si>
  <si>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</si>
  <si>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</si>
  <si>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</si>
  <si>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</si>
  <si>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</si>
  <si>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- Vèn ®Çu t­ cña chñ së h÷u</t>
  </si>
  <si>
    <t>- ThÆng d­ vèn cæ phÇn</t>
  </si>
  <si>
    <t>- Chªnh lÖch tû gi¸ hèi ®o¸i</t>
  </si>
  <si>
    <t>- Vèn kh¸c cña chñ së h÷u</t>
  </si>
  <si>
    <t>- Cæ phiÕu quü</t>
  </si>
  <si>
    <t>- Chªnh lÖch ®¸nh gi¸ l¹i tµi s¶n</t>
  </si>
  <si>
    <t>- C¸c quü</t>
  </si>
  <si>
    <t>- Lîi nhuËn sau thuÕ ch­a ph©n phèi</t>
  </si>
  <si>
    <t>- Nguån vèn ®Çu t­ XDCB</t>
  </si>
  <si>
    <t>Nguån kinh phÝ vµ quü kh¸c</t>
  </si>
  <si>
    <t>- Nguån kinh phÝ</t>
  </si>
  <si>
    <t>- Nguån kinh phÝ ®· h×nh thµnh TSC§</t>
  </si>
  <si>
    <t>VI</t>
  </si>
  <si>
    <t>Tæng céng nguån vèn</t>
  </si>
  <si>
    <t>II.A.</t>
  </si>
  <si>
    <t>KÕt qu¶ ho¹t ®éng kinh doanh</t>
  </si>
  <si>
    <t>Doanh thu b¸n hµng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</si>
  <si>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</si>
  <si>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</si>
  <si>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</si>
  <si>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DV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</si>
  <si>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</si>
  <si>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</si>
  <si>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</si>
  <si>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</si>
  <si>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</si>
  <si>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</si>
  <si>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</si>
  <si>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</si>
  <si>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</si>
  <si>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</si>
  <si>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TNDN</t>
  </si>
  <si>
    <t>L·i c¬ b¶n trªn cæ phiÕu</t>
  </si>
  <si>
    <t>Cæ tøc trªn mçi cæ phiÕu kÕ ho¹ch</t>
  </si>
  <si>
    <t>§¹i diÖn ph¸p luËt cña c«ng ty</t>
  </si>
  <si>
    <t>QuÝ IV</t>
  </si>
  <si>
    <t>Tài s¶n thuÕ thu nhËp ho·n l¹i</t>
  </si>
</sst>
</file>

<file path=xl/styles.xml><?xml version="1.0" encoding="utf-8"?>
<styleSheet xmlns="http://schemas.openxmlformats.org/spreadsheetml/2006/main">
  <numFmts count="3">
    <numFmt numFmtId="164" formatCode="0.00_);\(0.00\)"/>
    <numFmt numFmtId="165" formatCode="#\ ###\ ###\ ###"/>
    <numFmt numFmtId="166" formatCode="#,##0.0"/>
  </numFmts>
  <fonts count="109">
    <font>
      <sz val="10"/>
      <name val="VnBravo Times"/>
    </font>
    <font>
      <sz val="10"/>
      <name val="VnBravo Times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i/>
      <sz val="10"/>
      <color indexed="12"/>
      <name val=".VnTime"/>
      <family val="2"/>
    </font>
    <font>
      <b/>
      <sz val="16"/>
      <color indexed="12"/>
      <name val=".VnTimeH"/>
      <family val="2"/>
    </font>
    <font>
      <b/>
      <sz val="14"/>
      <color indexed="12"/>
      <name val=".VnTime"/>
      <family val="2"/>
    </font>
    <font>
      <b/>
      <sz val="12"/>
      <color indexed="12"/>
      <name val=".VnSouthernH"/>
      <family val="2"/>
    </font>
    <font>
      <i/>
      <sz val="12"/>
      <color indexed="12"/>
      <name val=".VnTime"/>
      <family val="2"/>
    </font>
    <font>
      <i/>
      <sz val="8"/>
      <color indexed="12"/>
      <name val=".VnTime"/>
      <family val="2"/>
    </font>
    <font>
      <b/>
      <i/>
      <sz val="12"/>
      <color indexed="12"/>
      <name val=".VnTime"/>
      <family val="2"/>
    </font>
    <font>
      <b/>
      <sz val="11"/>
      <color indexed="12"/>
      <name val=".VnArialH"/>
      <family val="2"/>
    </font>
    <font>
      <sz val="11"/>
      <color indexed="12"/>
      <name val=".VnArialH"/>
      <family val="2"/>
    </font>
    <font>
      <i/>
      <sz val="11"/>
      <color indexed="12"/>
      <name val=".VnTime"/>
      <family val="2"/>
    </font>
    <font>
      <sz val="8"/>
      <name val="VnBravo Times"/>
      <family val="1"/>
    </font>
    <font>
      <b/>
      <sz val="12"/>
      <color indexed="12"/>
      <name val=".VnArialH"/>
      <family val="2"/>
    </font>
    <font>
      <b/>
      <sz val="18"/>
      <color indexed="12"/>
      <name val=".VnArialH"/>
      <family val="2"/>
    </font>
    <font>
      <b/>
      <sz val="14"/>
      <color indexed="12"/>
      <name val=".VnArialH"/>
      <family val="2"/>
    </font>
    <font>
      <b/>
      <u/>
      <sz val="10"/>
      <color indexed="12"/>
      <name val=".VnTimeH"/>
      <family val="2"/>
    </font>
    <font>
      <b/>
      <u/>
      <sz val="12"/>
      <color indexed="12"/>
      <name val=".vntime"/>
      <family val="2"/>
    </font>
    <font>
      <b/>
      <sz val="10"/>
      <color indexed="12"/>
      <name val=".VnTime"/>
      <family val="2"/>
    </font>
    <font>
      <sz val="12"/>
      <color indexed="12"/>
      <name val=".VnArialH"/>
      <family val="2"/>
    </font>
    <font>
      <b/>
      <sz val="10"/>
      <name val=".VnArial"/>
      <family val="2"/>
    </font>
    <font>
      <b/>
      <sz val="12"/>
      <name val=".VnTimeH"/>
      <family val="2"/>
    </font>
    <font>
      <i/>
      <sz val="9"/>
      <name val=".VnTime"/>
      <family val="2"/>
    </font>
    <font>
      <b/>
      <sz val="12"/>
      <name val=".VnTime"/>
      <family val="2"/>
    </font>
    <font>
      <b/>
      <sz val="12"/>
      <name val=".VnArial Narrow"/>
      <family val="2"/>
    </font>
    <font>
      <b/>
      <u/>
      <sz val="12"/>
      <color indexed="12"/>
      <name val=".VnArial"/>
      <family val="2"/>
    </font>
    <font>
      <b/>
      <sz val="11"/>
      <color indexed="12"/>
      <name val=".VnTimeH"/>
      <family val="2"/>
    </font>
    <font>
      <b/>
      <sz val="11"/>
      <color indexed="12"/>
      <name val=".VnBook-AntiquaH"/>
      <family val="2"/>
    </font>
    <font>
      <u/>
      <sz val="12"/>
      <color indexed="12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"/>
      <family val="2"/>
    </font>
    <font>
      <b/>
      <sz val="12"/>
      <color indexed="12"/>
      <name val=".VnArial Narrow"/>
      <family val="2"/>
    </font>
    <font>
      <b/>
      <sz val="8"/>
      <name val=".vntime"/>
      <family val="2"/>
    </font>
    <font>
      <b/>
      <sz val="10"/>
      <name val=".VnTime"/>
      <family val="2"/>
    </font>
    <font>
      <i/>
      <sz val="12"/>
      <color indexed="12"/>
      <name val=".VnTimeH"/>
      <family val="2"/>
    </font>
    <font>
      <i/>
      <sz val="12"/>
      <color indexed="12"/>
      <name val="Times New Roman"/>
      <family val="1"/>
    </font>
    <font>
      <b/>
      <sz val="10"/>
      <name val="VnBravo Times"/>
      <family val="1"/>
    </font>
    <font>
      <b/>
      <u/>
      <sz val="11.5"/>
      <color indexed="12"/>
      <name val=".vntime"/>
      <family val="2"/>
    </font>
    <font>
      <sz val="11.5"/>
      <color indexed="12"/>
      <name val=".VnTime"/>
      <family val="2"/>
    </font>
    <font>
      <b/>
      <sz val="11.5"/>
      <color indexed="12"/>
      <name val=".vntime"/>
      <family val="2"/>
    </font>
    <font>
      <b/>
      <i/>
      <sz val="11.5"/>
      <color indexed="12"/>
      <name val=".VnTime"/>
      <family val="2"/>
    </font>
    <font>
      <i/>
      <sz val="11.5"/>
      <color indexed="12"/>
      <name val=".VnTime"/>
      <family val="2"/>
    </font>
    <font>
      <b/>
      <i/>
      <u/>
      <sz val="11.5"/>
      <color indexed="12"/>
      <name val=".vntime"/>
      <family val="2"/>
    </font>
    <font>
      <b/>
      <u/>
      <sz val="11"/>
      <color indexed="12"/>
      <name val=".VnTimeH"/>
      <family val="2"/>
    </font>
    <font>
      <b/>
      <u/>
      <sz val="10.5"/>
      <color indexed="12"/>
      <name val=".VnTimeH"/>
      <family val="2"/>
    </font>
    <font>
      <b/>
      <u/>
      <sz val="11"/>
      <color indexed="12"/>
      <name val=".vntime"/>
      <family val="2"/>
    </font>
    <font>
      <b/>
      <i/>
      <sz val="11"/>
      <color indexed="12"/>
      <name val=".VnTime"/>
      <family val="2"/>
    </font>
    <font>
      <b/>
      <i/>
      <u/>
      <sz val="11"/>
      <color indexed="12"/>
      <name val=".vntime"/>
      <family val="2"/>
    </font>
    <font>
      <b/>
      <sz val="10.5"/>
      <name val=".VnArial Narrow"/>
      <family val="2"/>
    </font>
    <font>
      <sz val="12"/>
      <color indexed="10"/>
      <name val=".VnTime"/>
      <family val="2"/>
    </font>
    <font>
      <b/>
      <sz val="14"/>
      <color indexed="12"/>
      <name val=".VnArial Narrow"/>
      <family val="2"/>
    </font>
    <font>
      <sz val="14"/>
      <color indexed="12"/>
      <name val=".VnTime"/>
      <family val="2"/>
    </font>
    <font>
      <i/>
      <sz val="14"/>
      <color indexed="12"/>
      <name val=".VnTime"/>
      <family val="2"/>
    </font>
    <font>
      <b/>
      <sz val="13"/>
      <color indexed="12"/>
      <name val=".VnArial Narrow"/>
      <family val="2"/>
    </font>
    <font>
      <b/>
      <sz val="13"/>
      <color indexed="12"/>
      <name val=".VnTime"/>
      <family val="2"/>
    </font>
    <font>
      <i/>
      <sz val="10.5"/>
      <name val=".VnTime"/>
      <family val="2"/>
    </font>
    <font>
      <sz val="10"/>
      <name val=".VnTime"/>
      <family val="2"/>
    </font>
    <font>
      <i/>
      <sz val="11"/>
      <name val=".VnArial"/>
      <family val="2"/>
    </font>
    <font>
      <b/>
      <sz val="8"/>
      <name val=".VnArial Narrow"/>
      <family val="2"/>
    </font>
    <font>
      <sz val="10"/>
      <name val=".VnAvant"/>
      <family val="2"/>
    </font>
    <font>
      <sz val="10.5"/>
      <name val=".VnAvant"/>
      <family val="2"/>
    </font>
    <font>
      <sz val="11"/>
      <name val=".VnArial NarrowH"/>
      <family val="2"/>
    </font>
    <font>
      <sz val="10.5"/>
      <color indexed="12"/>
      <name val=".VnTime"/>
      <family val="2"/>
    </font>
    <font>
      <sz val="11"/>
      <name val=".VnArial Narrow"/>
      <family val="2"/>
    </font>
    <font>
      <b/>
      <i/>
      <sz val="11"/>
      <color indexed="10"/>
      <name val=".VnArial Narrow"/>
      <family val="2"/>
    </font>
    <font>
      <b/>
      <sz val="11"/>
      <color indexed="10"/>
      <name val=".VnArial Narrow"/>
      <family val="2"/>
    </font>
    <font>
      <b/>
      <sz val="11"/>
      <color indexed="12"/>
      <name val=".VnArial Narrow"/>
      <family val="2"/>
    </font>
    <font>
      <b/>
      <sz val="10"/>
      <name val=".VnArial Narrow"/>
      <family val="2"/>
    </font>
    <font>
      <b/>
      <sz val="10.5"/>
      <color indexed="10"/>
      <name val=".VnArial"/>
      <family val="2"/>
      <charset val="186"/>
    </font>
    <font>
      <b/>
      <sz val="15"/>
      <name val=".VnTimeH"/>
      <family val="2"/>
    </font>
    <font>
      <b/>
      <sz val="15"/>
      <name val=".VnTime"/>
      <family val="2"/>
    </font>
    <font>
      <b/>
      <sz val="12"/>
      <color indexed="12"/>
      <name val=".VnTimeH"/>
      <family val="2"/>
    </font>
    <font>
      <sz val="13"/>
      <color indexed="12"/>
      <name val=".VnArial Narrow"/>
      <family val="2"/>
    </font>
    <font>
      <i/>
      <sz val="13"/>
      <color indexed="12"/>
      <name val=".VnArial Narrow"/>
      <family val="2"/>
    </font>
    <font>
      <sz val="10"/>
      <name val=".VnArial"/>
      <family val="2"/>
      <charset val="186"/>
    </font>
    <font>
      <b/>
      <sz val="10"/>
      <color indexed="10"/>
      <name val=".VnArial"/>
      <family val="2"/>
      <charset val="186"/>
    </font>
    <font>
      <b/>
      <sz val="10"/>
      <name val=".VnArial"/>
      <family val="2"/>
      <charset val="186"/>
    </font>
    <font>
      <b/>
      <sz val="10"/>
      <color indexed="12"/>
      <name val=".VnArial"/>
      <family val="2"/>
      <charset val="186"/>
    </font>
    <font>
      <sz val="9.5"/>
      <name val=".VnArial"/>
      <family val="2"/>
      <charset val="186"/>
    </font>
    <font>
      <b/>
      <sz val="9.5"/>
      <color indexed="10"/>
      <name val=".VnArial"/>
      <family val="2"/>
      <charset val="186"/>
    </font>
    <font>
      <b/>
      <sz val="9.5"/>
      <name val=".VnArial"/>
      <family val="2"/>
      <charset val="186"/>
    </font>
    <font>
      <b/>
      <sz val="9.5"/>
      <color indexed="12"/>
      <name val=".VnArial"/>
      <family val="2"/>
      <charset val="186"/>
    </font>
    <font>
      <b/>
      <sz val="12"/>
      <color indexed="10"/>
      <name val=".VnTime"/>
      <family val="2"/>
    </font>
    <font>
      <sz val="12.5"/>
      <color indexed="12"/>
      <name val=".VnArial Narrow"/>
      <family val="2"/>
    </font>
    <font>
      <i/>
      <sz val="12.5"/>
      <color indexed="12"/>
      <name val=".VnArial Narrow"/>
      <family val="2"/>
    </font>
    <font>
      <b/>
      <sz val="9"/>
      <name val=".VnArial"/>
      <family val="2"/>
    </font>
    <font>
      <b/>
      <i/>
      <sz val="10"/>
      <name val=".VnArial"/>
      <family val="2"/>
    </font>
    <font>
      <b/>
      <sz val="11"/>
      <name val=".VnTimeH"/>
      <family val="2"/>
    </font>
    <font>
      <i/>
      <sz val="8"/>
      <name val=".VnArial"/>
      <family val="2"/>
    </font>
    <font>
      <sz val="10"/>
      <color indexed="12"/>
      <name val=".VnTime"/>
      <family val="2"/>
    </font>
    <font>
      <sz val="8"/>
      <name val=".vntime"/>
      <family val="2"/>
    </font>
    <font>
      <i/>
      <sz val="8"/>
      <name val=".vntime"/>
      <family val="2"/>
    </font>
    <font>
      <sz val="8"/>
      <name val="VnBravo Times"/>
    </font>
    <font>
      <b/>
      <sz val="11"/>
      <color indexed="10"/>
      <name val=".VnArial NarrowH"/>
      <family val="2"/>
    </font>
    <font>
      <sz val="11"/>
      <color indexed="10"/>
      <name val=".VnArial NarrowH"/>
      <family val="2"/>
    </font>
    <font>
      <b/>
      <sz val="11"/>
      <name val=".VnArial NarrowH"/>
      <family val="2"/>
    </font>
    <font>
      <b/>
      <u/>
      <sz val="11"/>
      <name val=".VnArial NarrowH"/>
      <family val="2"/>
    </font>
    <font>
      <b/>
      <u/>
      <sz val="11"/>
      <color indexed="12"/>
      <name val=".VnArial NarrowH"/>
      <family val="2"/>
    </font>
    <font>
      <sz val="10"/>
      <name val=".VnArial Narrow"/>
      <family val="2"/>
    </font>
    <font>
      <b/>
      <sz val="10"/>
      <color indexed="12"/>
      <name val=".VnArialH"/>
      <family val="2"/>
    </font>
    <font>
      <b/>
      <sz val="12"/>
      <color indexed="12"/>
      <name val=".VnTime"/>
    </font>
    <font>
      <sz val="12"/>
      <color indexed="12"/>
      <name val=".vntime"/>
    </font>
    <font>
      <sz val="12"/>
      <color indexed="12"/>
      <name val=".VnArial Narrow"/>
      <family val="2"/>
    </font>
    <font>
      <b/>
      <sz val="16"/>
      <color indexed="12"/>
      <name val=".VnArialH"/>
      <family val="2"/>
    </font>
    <font>
      <b/>
      <u/>
      <sz val="12"/>
      <color indexed="12"/>
      <name val=".VnArial NarrowH"/>
      <family val="2"/>
    </font>
    <font>
      <b/>
      <sz val="12"/>
      <color indexed="12"/>
      <name val="Times New Roman"/>
      <family val="1"/>
    </font>
    <font>
      <b/>
      <sz val="10"/>
      <color indexed="12"/>
      <name val=".VnTimeH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8">
    <xf numFmtId="0" fontId="0" fillId="0" borderId="0" xfId="0"/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3" fontId="7" fillId="0" borderId="0" xfId="0" applyNumberFormat="1" applyFont="1"/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Border="1"/>
    <xf numFmtId="3" fontId="8" fillId="0" borderId="0" xfId="0" applyNumberFormat="1" applyFont="1" applyAlignment="1">
      <alignment horizontal="center"/>
    </xf>
    <xf numFmtId="3" fontId="12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right"/>
    </xf>
    <xf numFmtId="3" fontId="8" fillId="0" borderId="2" xfId="0" applyNumberFormat="1" applyFont="1" applyBorder="1"/>
    <xf numFmtId="3" fontId="2" fillId="0" borderId="3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3" fillId="0" borderId="7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2" fillId="0" borderId="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3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0" borderId="7" xfId="0" applyNumberFormat="1" applyFont="1" applyBorder="1"/>
    <xf numFmtId="3" fontId="2" fillId="0" borderId="7" xfId="0" applyNumberFormat="1" applyFont="1" applyBorder="1"/>
    <xf numFmtId="37" fontId="2" fillId="0" borderId="2" xfId="0" applyNumberFormat="1" applyFont="1" applyBorder="1"/>
    <xf numFmtId="3" fontId="8" fillId="0" borderId="7" xfId="0" applyNumberFormat="1" applyFont="1" applyBorder="1"/>
    <xf numFmtId="3" fontId="2" fillId="0" borderId="7" xfId="0" quotePrefix="1" applyNumberFormat="1" applyFont="1" applyBorder="1"/>
    <xf numFmtId="3" fontId="2" fillId="0" borderId="8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5" fillId="0" borderId="0" xfId="0" applyNumberFormat="1" applyFont="1"/>
    <xf numFmtId="3" fontId="21" fillId="0" borderId="0" xfId="0" applyNumberFormat="1" applyFont="1"/>
    <xf numFmtId="3" fontId="8" fillId="0" borderId="3" xfId="0" applyNumberFormat="1" applyFont="1" applyBorder="1"/>
    <xf numFmtId="3" fontId="0" fillId="0" borderId="0" xfId="0" applyNumberFormat="1"/>
    <xf numFmtId="3" fontId="0" fillId="0" borderId="9" xfId="0" applyNumberFormat="1" applyBorder="1"/>
    <xf numFmtId="3" fontId="10" fillId="0" borderId="0" xfId="0" applyNumberFormat="1" applyFont="1"/>
    <xf numFmtId="3" fontId="8" fillId="0" borderId="0" xfId="0" applyNumberFormat="1" applyFont="1"/>
    <xf numFmtId="3" fontId="2" fillId="0" borderId="0" xfId="0" quotePrefix="1" applyNumberFormat="1" applyFont="1"/>
    <xf numFmtId="3" fontId="8" fillId="0" borderId="0" xfId="0" quotePrefix="1" applyNumberFormat="1" applyFont="1"/>
    <xf numFmtId="3" fontId="8" fillId="0" borderId="0" xfId="0" quotePrefix="1" applyNumberFormat="1" applyFont="1" applyBorder="1"/>
    <xf numFmtId="3" fontId="8" fillId="0" borderId="0" xfId="0" applyNumberFormat="1" applyFont="1" applyBorder="1"/>
    <xf numFmtId="3" fontId="10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0" xfId="0" quotePrefix="1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8" fillId="0" borderId="0" xfId="0" quotePrefix="1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10" fillId="0" borderId="4" xfId="0" applyNumberFormat="1" applyFont="1" applyBorder="1"/>
    <xf numFmtId="3" fontId="2" fillId="0" borderId="10" xfId="0" applyNumberFormat="1" applyFont="1" applyBorder="1"/>
    <xf numFmtId="3" fontId="2" fillId="0" borderId="11" xfId="0" quotePrefix="1" applyNumberFormat="1" applyFont="1" applyBorder="1"/>
    <xf numFmtId="3" fontId="2" fillId="0" borderId="12" xfId="0" applyNumberFormat="1" applyFont="1" applyBorder="1"/>
    <xf numFmtId="3" fontId="2" fillId="0" borderId="2" xfId="0" quotePrefix="1" applyNumberFormat="1" applyFont="1" applyBorder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3" fontId="3" fillId="0" borderId="13" xfId="0" applyNumberFormat="1" applyFont="1" applyBorder="1"/>
    <xf numFmtId="3" fontId="3" fillId="0" borderId="4" xfId="0" applyNumberFormat="1" applyFont="1" applyBorder="1"/>
    <xf numFmtId="3" fontId="3" fillId="0" borderId="0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left"/>
    </xf>
    <xf numFmtId="3" fontId="2" fillId="0" borderId="15" xfId="0" applyNumberFormat="1" applyFont="1" applyBorder="1"/>
    <xf numFmtId="3" fontId="2" fillId="0" borderId="1" xfId="0" quotePrefix="1" applyNumberFormat="1" applyFont="1" applyBorder="1"/>
    <xf numFmtId="3" fontId="2" fillId="0" borderId="16" xfId="0" applyNumberFormat="1" applyFont="1" applyBorder="1"/>
    <xf numFmtId="3" fontId="2" fillId="0" borderId="17" xfId="0" quotePrefix="1" applyNumberFormat="1" applyFont="1" applyBorder="1"/>
    <xf numFmtId="3" fontId="2" fillId="0" borderId="17" xfId="0" applyNumberFormat="1" applyFont="1" applyBorder="1"/>
    <xf numFmtId="3" fontId="10" fillId="0" borderId="13" xfId="0" applyNumberFormat="1" applyFont="1" applyBorder="1"/>
    <xf numFmtId="3" fontId="2" fillId="0" borderId="5" xfId="0" applyNumberFormat="1" applyFont="1" applyBorder="1"/>
    <xf numFmtId="3" fontId="2" fillId="0" borderId="11" xfId="0" applyNumberFormat="1" applyFont="1" applyBorder="1"/>
    <xf numFmtId="3" fontId="10" fillId="0" borderId="5" xfId="0" applyNumberFormat="1" applyFont="1" applyBorder="1"/>
    <xf numFmtId="3" fontId="2" fillId="0" borderId="18" xfId="0" applyNumberFormat="1" applyFont="1" applyBorder="1"/>
    <xf numFmtId="3" fontId="2" fillId="0" borderId="3" xfId="0" quotePrefix="1" applyNumberFormat="1" applyFont="1" applyBorder="1"/>
    <xf numFmtId="37" fontId="2" fillId="0" borderId="3" xfId="0" applyNumberFormat="1" applyFont="1" applyBorder="1"/>
    <xf numFmtId="3" fontId="2" fillId="0" borderId="13" xfId="0" applyNumberFormat="1" applyFont="1" applyBorder="1"/>
    <xf numFmtId="3" fontId="3" fillId="0" borderId="5" xfId="0" applyNumberFormat="1" applyFont="1" applyBorder="1"/>
    <xf numFmtId="3" fontId="2" fillId="0" borderId="10" xfId="0" quotePrefix="1" applyNumberFormat="1" applyFont="1" applyBorder="1"/>
    <xf numFmtId="3" fontId="3" fillId="0" borderId="19" xfId="0" applyNumberFormat="1" applyFont="1" applyBorder="1"/>
    <xf numFmtId="3" fontId="2" fillId="0" borderId="20" xfId="0" applyNumberFormat="1" applyFont="1" applyBorder="1"/>
    <xf numFmtId="3" fontId="8" fillId="0" borderId="12" xfId="0" applyNumberFormat="1" applyFont="1" applyBorder="1"/>
    <xf numFmtId="3" fontId="10" fillId="0" borderId="0" xfId="0" applyNumberFormat="1" applyFont="1" applyBorder="1"/>
    <xf numFmtId="3" fontId="2" fillId="0" borderId="21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2" fillId="0" borderId="6" xfId="0" applyNumberFormat="1" applyFont="1" applyBorder="1"/>
    <xf numFmtId="3" fontId="3" fillId="0" borderId="6" xfId="0" applyNumberFormat="1" applyFont="1" applyBorder="1"/>
    <xf numFmtId="3" fontId="19" fillId="0" borderId="23" xfId="0" applyNumberFormat="1" applyFont="1" applyBorder="1"/>
    <xf numFmtId="3" fontId="2" fillId="0" borderId="23" xfId="0" applyNumberFormat="1" applyFont="1" applyBorder="1"/>
    <xf numFmtId="3" fontId="8" fillId="0" borderId="7" xfId="0" quotePrefix="1" applyNumberFormat="1" applyFont="1" applyBorder="1"/>
    <xf numFmtId="3" fontId="10" fillId="0" borderId="7" xfId="0" applyNumberFormat="1" applyFont="1" applyBorder="1"/>
    <xf numFmtId="3" fontId="19" fillId="0" borderId="7" xfId="0" applyNumberFormat="1" applyFont="1" applyBorder="1"/>
    <xf numFmtId="3" fontId="3" fillId="0" borderId="8" xfId="0" applyNumberFormat="1" applyFont="1" applyBorder="1"/>
    <xf numFmtId="3" fontId="3" fillId="0" borderId="23" xfId="0" applyNumberFormat="1" applyFont="1" applyBorder="1"/>
    <xf numFmtId="3" fontId="3" fillId="0" borderId="7" xfId="0" applyNumberFormat="1" applyFont="1" applyBorder="1" applyAlignment="1">
      <alignment horizontal="right"/>
    </xf>
    <xf numFmtId="3" fontId="3" fillId="0" borderId="7" xfId="0" quotePrefix="1" applyNumberFormat="1" applyFont="1" applyBorder="1"/>
    <xf numFmtId="3" fontId="3" fillId="0" borderId="8" xfId="0" quotePrefix="1" applyNumberFormat="1" applyFont="1" applyBorder="1"/>
    <xf numFmtId="3" fontId="3" fillId="0" borderId="0" xfId="0" quotePrefix="1" applyNumberFormat="1" applyFont="1" applyBorder="1"/>
    <xf numFmtId="3" fontId="3" fillId="0" borderId="4" xfId="0" quotePrefix="1" applyNumberFormat="1" applyFont="1" applyBorder="1"/>
    <xf numFmtId="3" fontId="3" fillId="0" borderId="5" xfId="0" quotePrefix="1" applyNumberFormat="1" applyFont="1" applyBorder="1" applyAlignment="1">
      <alignment horizontal="center"/>
    </xf>
    <xf numFmtId="3" fontId="10" fillId="0" borderId="24" xfId="0" applyNumberFormat="1" applyFont="1" applyBorder="1"/>
    <xf numFmtId="3" fontId="2" fillId="0" borderId="25" xfId="0" applyNumberFormat="1" applyFont="1" applyBorder="1"/>
    <xf numFmtId="3" fontId="3" fillId="0" borderId="26" xfId="0" applyNumberFormat="1" applyFont="1" applyBorder="1" applyAlignment="1">
      <alignment horizontal="center"/>
    </xf>
    <xf numFmtId="3" fontId="8" fillId="0" borderId="2" xfId="0" quotePrefix="1" applyNumberFormat="1" applyFont="1" applyBorder="1"/>
    <xf numFmtId="3" fontId="8" fillId="0" borderId="3" xfId="0" quotePrefix="1" applyNumberFormat="1" applyFont="1" applyBorder="1"/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20" fillId="0" borderId="6" xfId="0" applyNumberFormat="1" applyFont="1" applyBorder="1" applyAlignment="1">
      <alignment horizontal="center"/>
    </xf>
    <xf numFmtId="37" fontId="2" fillId="0" borderId="7" xfId="0" applyNumberFormat="1" applyFont="1" applyBorder="1"/>
    <xf numFmtId="3" fontId="2" fillId="0" borderId="27" xfId="0" quotePrefix="1" applyNumberFormat="1" applyFont="1" applyBorder="1"/>
    <xf numFmtId="3" fontId="2" fillId="0" borderId="8" xfId="0" quotePrefix="1" applyNumberFormat="1" applyFont="1" applyBorder="1"/>
    <xf numFmtId="3" fontId="3" fillId="0" borderId="21" xfId="0" applyNumberFormat="1" applyFont="1" applyBorder="1"/>
    <xf numFmtId="3" fontId="2" fillId="0" borderId="23" xfId="0" quotePrefix="1" applyNumberFormat="1" applyFont="1" applyBorder="1"/>
    <xf numFmtId="3" fontId="2" fillId="0" borderId="19" xfId="0" applyNumberFormat="1" applyFont="1" applyBorder="1"/>
    <xf numFmtId="3" fontId="2" fillId="0" borderId="0" xfId="0" quotePrefix="1" applyNumberFormat="1" applyFont="1" applyBorder="1"/>
    <xf numFmtId="3" fontId="31" fillId="0" borderId="5" xfId="0" applyNumberFormat="1" applyFont="1" applyBorder="1" applyAlignment="1">
      <alignment horizontal="center"/>
    </xf>
    <xf numFmtId="3" fontId="3" fillId="0" borderId="12" xfId="0" applyNumberFormat="1" applyFont="1" applyBorder="1"/>
    <xf numFmtId="3" fontId="3" fillId="0" borderId="2" xfId="0" quotePrefix="1" applyNumberFormat="1" applyFont="1" applyBorder="1"/>
    <xf numFmtId="3" fontId="10" fillId="0" borderId="12" xfId="0" applyNumberFormat="1" applyFont="1" applyBorder="1"/>
    <xf numFmtId="3" fontId="3" fillId="0" borderId="15" xfId="0" applyNumberFormat="1" applyFont="1" applyBorder="1"/>
    <xf numFmtId="3" fontId="10" fillId="0" borderId="14" xfId="0" applyNumberFormat="1" applyFont="1" applyBorder="1"/>
    <xf numFmtId="3" fontId="3" fillId="0" borderId="10" xfId="0" applyNumberFormat="1" applyFont="1" applyBorder="1"/>
    <xf numFmtId="3" fontId="2" fillId="0" borderId="28" xfId="0" applyNumberFormat="1" applyFont="1" applyBorder="1"/>
    <xf numFmtId="3" fontId="2" fillId="0" borderId="29" xfId="0" quotePrefix="1" applyNumberFormat="1" applyFont="1" applyBorder="1"/>
    <xf numFmtId="3" fontId="2" fillId="0" borderId="29" xfId="0" applyNumberFormat="1" applyFont="1" applyBorder="1"/>
    <xf numFmtId="3" fontId="3" fillId="0" borderId="18" xfId="0" applyNumberFormat="1" applyFont="1" applyBorder="1"/>
    <xf numFmtId="3" fontId="2" fillId="0" borderId="30" xfId="0" applyNumberFormat="1" applyFont="1" applyBorder="1"/>
    <xf numFmtId="3" fontId="3" fillId="0" borderId="27" xfId="0" applyNumberFormat="1" applyFont="1" applyBorder="1"/>
    <xf numFmtId="3" fontId="32" fillId="0" borderId="0" xfId="0" applyNumberFormat="1" applyFont="1"/>
    <xf numFmtId="3" fontId="27" fillId="0" borderId="0" xfId="0" applyNumberFormat="1" applyFont="1" applyBorder="1" applyAlignment="1"/>
    <xf numFmtId="3" fontId="29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3" fillId="0" borderId="28" xfId="0" applyNumberFormat="1" applyFont="1" applyBorder="1"/>
    <xf numFmtId="3" fontId="3" fillId="0" borderId="0" xfId="0" applyNumberFormat="1" applyFont="1" applyAlignment="1">
      <alignment horizontal="left"/>
    </xf>
    <xf numFmtId="3" fontId="22" fillId="0" borderId="0" xfId="0" applyNumberFormat="1" applyFont="1" applyAlignment="1"/>
    <xf numFmtId="164" fontId="23" fillId="0" borderId="0" xfId="0" applyNumberFormat="1" applyFont="1" applyAlignment="1">
      <alignment horizontal="left"/>
    </xf>
    <xf numFmtId="164" fontId="26" fillId="0" borderId="0" xfId="0" applyNumberFormat="1" applyFont="1"/>
    <xf numFmtId="3" fontId="2" fillId="0" borderId="5" xfId="0" quotePrefix="1" applyNumberFormat="1" applyFont="1" applyBorder="1"/>
    <xf numFmtId="3" fontId="24" fillId="0" borderId="0" xfId="0" applyNumberFormat="1" applyFont="1" applyAlignment="1"/>
    <xf numFmtId="3" fontId="24" fillId="0" borderId="9" xfId="0" applyNumberFormat="1" applyFont="1" applyBorder="1" applyAlignment="1"/>
    <xf numFmtId="164" fontId="35" fillId="0" borderId="9" xfId="0" applyNumberFormat="1" applyFont="1" applyBorder="1"/>
    <xf numFmtId="37" fontId="3" fillId="0" borderId="4" xfId="0" applyNumberFormat="1" applyFont="1" applyBorder="1"/>
    <xf numFmtId="164" fontId="25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9" xfId="0" applyNumberForma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16" xfId="0" quotePrefix="1" applyNumberFormat="1" applyFont="1" applyBorder="1"/>
    <xf numFmtId="3" fontId="2" fillId="0" borderId="4" xfId="0" applyNumberFormat="1" applyFont="1" applyBorder="1"/>
    <xf numFmtId="3" fontId="39" fillId="0" borderId="1" xfId="0" applyNumberFormat="1" applyFont="1" applyBorder="1" applyAlignment="1">
      <alignment horizontal="right"/>
    </xf>
    <xf numFmtId="3" fontId="40" fillId="0" borderId="0" xfId="0" applyNumberFormat="1" applyFont="1"/>
    <xf numFmtId="3" fontId="42" fillId="0" borderId="2" xfId="0" applyNumberFormat="1" applyFont="1" applyBorder="1"/>
    <xf numFmtId="3" fontId="40" fillId="0" borderId="2" xfId="0" applyNumberFormat="1" applyFont="1" applyBorder="1"/>
    <xf numFmtId="3" fontId="39" fillId="0" borderId="2" xfId="0" applyNumberFormat="1" applyFont="1" applyBorder="1"/>
    <xf numFmtId="3" fontId="43" fillId="0" borderId="2" xfId="0" applyNumberFormat="1" applyFont="1" applyBorder="1"/>
    <xf numFmtId="3" fontId="42" fillId="0" borderId="3" xfId="0" applyNumberFormat="1" applyFont="1" applyBorder="1"/>
    <xf numFmtId="3" fontId="42" fillId="0" borderId="25" xfId="0" applyNumberFormat="1" applyFont="1" applyBorder="1"/>
    <xf numFmtId="3" fontId="44" fillId="0" borderId="31" xfId="0" applyNumberFormat="1" applyFont="1" applyBorder="1"/>
    <xf numFmtId="3" fontId="41" fillId="0" borderId="5" xfId="0" applyNumberFormat="1" applyFont="1" applyBorder="1" applyAlignment="1">
      <alignment horizontal="center"/>
    </xf>
    <xf numFmtId="3" fontId="44" fillId="0" borderId="5" xfId="0" applyNumberFormat="1" applyFont="1" applyBorder="1"/>
    <xf numFmtId="3" fontId="31" fillId="0" borderId="4" xfId="0" applyNumberFormat="1" applyFont="1" applyBorder="1" applyAlignment="1">
      <alignment horizontal="center"/>
    </xf>
    <xf numFmtId="3" fontId="47" fillId="0" borderId="1" xfId="0" applyNumberFormat="1" applyFont="1" applyBorder="1" applyAlignment="1">
      <alignment horizontal="center"/>
    </xf>
    <xf numFmtId="3" fontId="47" fillId="0" borderId="1" xfId="0" applyNumberFormat="1" applyFont="1" applyBorder="1" applyAlignment="1">
      <alignment horizontal="right"/>
    </xf>
    <xf numFmtId="3" fontId="31" fillId="0" borderId="7" xfId="0" applyNumberFormat="1" applyFont="1" applyBorder="1"/>
    <xf numFmtId="3" fontId="31" fillId="0" borderId="2" xfId="0" applyNumberFormat="1" applyFont="1" applyBorder="1" applyAlignment="1">
      <alignment horizontal="center"/>
    </xf>
    <xf numFmtId="3" fontId="31" fillId="0" borderId="2" xfId="0" applyNumberFormat="1" applyFont="1" applyBorder="1"/>
    <xf numFmtId="3" fontId="32" fillId="0" borderId="7" xfId="0" applyNumberFormat="1" applyFont="1" applyBorder="1"/>
    <xf numFmtId="3" fontId="32" fillId="0" borderId="2" xfId="0" applyNumberFormat="1" applyFont="1" applyBorder="1" applyAlignment="1">
      <alignment horizontal="center"/>
    </xf>
    <xf numFmtId="3" fontId="32" fillId="0" borderId="2" xfId="0" applyNumberFormat="1" applyFont="1" applyBorder="1"/>
    <xf numFmtId="37" fontId="32" fillId="0" borderId="2" xfId="0" applyNumberFormat="1" applyFont="1" applyBorder="1"/>
    <xf numFmtId="3" fontId="45" fillId="0" borderId="7" xfId="0" applyNumberFormat="1" applyFont="1" applyBorder="1"/>
    <xf numFmtId="3" fontId="47" fillId="0" borderId="2" xfId="0" applyNumberFormat="1" applyFont="1" applyBorder="1" applyAlignment="1">
      <alignment horizontal="center"/>
    </xf>
    <xf numFmtId="3" fontId="47" fillId="0" borderId="2" xfId="0" applyNumberFormat="1" applyFont="1" applyBorder="1"/>
    <xf numFmtId="3" fontId="31" fillId="0" borderId="7" xfId="0" applyNumberFormat="1" applyFont="1" applyBorder="1" applyAlignment="1">
      <alignment horizontal="center"/>
    </xf>
    <xf numFmtId="3" fontId="32" fillId="0" borderId="7" xfId="0" applyNumberFormat="1" applyFont="1" applyBorder="1" applyAlignment="1">
      <alignment horizontal="center"/>
    </xf>
    <xf numFmtId="3" fontId="13" fillId="0" borderId="7" xfId="0" applyNumberFormat="1" applyFont="1" applyBorder="1"/>
    <xf numFmtId="3" fontId="13" fillId="0" borderId="2" xfId="0" applyNumberFormat="1" applyFont="1" applyBorder="1" applyAlignment="1">
      <alignment horizontal="center"/>
    </xf>
    <xf numFmtId="3" fontId="13" fillId="0" borderId="2" xfId="0" applyNumberFormat="1" applyFont="1" applyBorder="1"/>
    <xf numFmtId="37" fontId="13" fillId="0" borderId="2" xfId="0" applyNumberFormat="1" applyFont="1" applyBorder="1"/>
    <xf numFmtId="3" fontId="32" fillId="0" borderId="7" xfId="0" quotePrefix="1" applyNumberFormat="1" applyFont="1" applyBorder="1"/>
    <xf numFmtId="3" fontId="48" fillId="0" borderId="2" xfId="0" applyNumberFormat="1" applyFont="1" applyBorder="1" applyAlignment="1">
      <alignment horizontal="center"/>
    </xf>
    <xf numFmtId="3" fontId="48" fillId="0" borderId="2" xfId="0" applyNumberFormat="1" applyFont="1" applyBorder="1"/>
    <xf numFmtId="3" fontId="32" fillId="0" borderId="8" xfId="0" applyNumberFormat="1" applyFont="1" applyBorder="1"/>
    <xf numFmtId="3" fontId="32" fillId="0" borderId="17" xfId="0" applyNumberFormat="1" applyFont="1" applyBorder="1" applyAlignment="1">
      <alignment horizontal="center"/>
    </xf>
    <xf numFmtId="3" fontId="48" fillId="0" borderId="17" xfId="0" applyNumberFormat="1" applyFont="1" applyBorder="1" applyAlignment="1">
      <alignment horizontal="center"/>
    </xf>
    <xf numFmtId="3" fontId="48" fillId="0" borderId="17" xfId="0" applyNumberFormat="1" applyFont="1" applyBorder="1"/>
    <xf numFmtId="3" fontId="47" fillId="0" borderId="4" xfId="0" applyNumberFormat="1" applyFont="1" applyBorder="1" applyAlignment="1">
      <alignment horizontal="center"/>
    </xf>
    <xf numFmtId="3" fontId="49" fillId="0" borderId="5" xfId="0" applyNumberFormat="1" applyFont="1" applyBorder="1" applyAlignment="1">
      <alignment horizontal="center"/>
    </xf>
    <xf numFmtId="3" fontId="47" fillId="0" borderId="5" xfId="0" applyNumberFormat="1" applyFont="1" applyBorder="1"/>
    <xf numFmtId="3" fontId="47" fillId="0" borderId="0" xfId="0" applyNumberFormat="1" applyFont="1" applyBorder="1" applyAlignment="1">
      <alignment horizontal="center"/>
    </xf>
    <xf numFmtId="3" fontId="49" fillId="0" borderId="0" xfId="0" applyNumberFormat="1" applyFont="1" applyBorder="1" applyAlignment="1">
      <alignment horizontal="center"/>
    </xf>
    <xf numFmtId="3" fontId="47" fillId="0" borderId="0" xfId="0" applyNumberFormat="1" applyFont="1" applyBorder="1"/>
    <xf numFmtId="3" fontId="47" fillId="0" borderId="23" xfId="0" applyNumberFormat="1" applyFont="1" applyBorder="1" applyAlignment="1">
      <alignment horizontal="left"/>
    </xf>
    <xf numFmtId="3" fontId="31" fillId="0" borderId="1" xfId="0" applyNumberFormat="1" applyFont="1" applyBorder="1" applyAlignment="1">
      <alignment horizontal="center"/>
    </xf>
    <xf numFmtId="3" fontId="47" fillId="0" borderId="7" xfId="0" applyNumberFormat="1" applyFont="1" applyBorder="1" applyAlignment="1">
      <alignment horizontal="left"/>
    </xf>
    <xf numFmtId="3" fontId="47" fillId="0" borderId="5" xfId="0" applyNumberFormat="1" applyFont="1" applyBorder="1" applyAlignment="1">
      <alignment horizontal="center"/>
    </xf>
    <xf numFmtId="3" fontId="13" fillId="0" borderId="0" xfId="0" applyNumberFormat="1" applyFont="1"/>
    <xf numFmtId="3" fontId="32" fillId="0" borderId="0" xfId="0" applyNumberFormat="1" applyFont="1" applyAlignment="1">
      <alignment horizontal="center"/>
    </xf>
    <xf numFmtId="3" fontId="13" fillId="0" borderId="32" xfId="0" applyNumberFormat="1" applyFont="1" applyBorder="1" applyAlignment="1"/>
    <xf numFmtId="3" fontId="11" fillId="0" borderId="0" xfId="0" applyNumberFormat="1" applyFont="1"/>
    <xf numFmtId="3" fontId="12" fillId="0" borderId="0" xfId="0" applyNumberFormat="1" applyFont="1" applyAlignment="1">
      <alignment horizontal="center"/>
    </xf>
    <xf numFmtId="3" fontId="31" fillId="0" borderId="0" xfId="0" applyNumberFormat="1" applyFont="1"/>
    <xf numFmtId="3" fontId="46" fillId="0" borderId="23" xfId="0" applyNumberFormat="1" applyFont="1" applyBorder="1" applyAlignment="1">
      <alignment horizontal="left"/>
    </xf>
    <xf numFmtId="164" fontId="50" fillId="0" borderId="9" xfId="0" applyNumberFormat="1" applyFont="1" applyBorder="1"/>
    <xf numFmtId="3" fontId="51" fillId="0" borderId="12" xfId="0" applyNumberFormat="1" applyFont="1" applyBorder="1"/>
    <xf numFmtId="3" fontId="51" fillId="0" borderId="0" xfId="0" applyNumberFormat="1" applyFont="1" applyBorder="1"/>
    <xf numFmtId="3" fontId="51" fillId="0" borderId="0" xfId="0" applyNumberFormat="1" applyFont="1"/>
    <xf numFmtId="3" fontId="51" fillId="0" borderId="15" xfId="0" applyNumberFormat="1" applyFont="1" applyBorder="1"/>
    <xf numFmtId="165" fontId="38" fillId="0" borderId="0" xfId="0" applyNumberFormat="1" applyFont="1" applyBorder="1"/>
    <xf numFmtId="3" fontId="2" fillId="0" borderId="23" xfId="0" applyNumberFormat="1" applyFont="1" applyBorder="1" applyAlignment="1">
      <alignment horizontal="center"/>
    </xf>
    <xf numFmtId="3" fontId="30" fillId="0" borderId="5" xfId="0" applyNumberFormat="1" applyFont="1" applyBorder="1"/>
    <xf numFmtId="3" fontId="2" fillId="0" borderId="6" xfId="0" applyNumberFormat="1" applyFont="1" applyBorder="1" applyAlignment="1">
      <alignment horizontal="center"/>
    </xf>
    <xf numFmtId="3" fontId="2" fillId="0" borderId="6" xfId="0" quotePrefix="1" applyNumberFormat="1" applyFont="1" applyBorder="1"/>
    <xf numFmtId="3" fontId="2" fillId="0" borderId="19" xfId="0" applyNumberFormat="1" applyFont="1" applyBorder="1" applyAlignment="1">
      <alignment horizontal="center"/>
    </xf>
    <xf numFmtId="3" fontId="2" fillId="0" borderId="2" xfId="0" quotePrefix="1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2" fillId="0" borderId="23" xfId="0" quotePrefix="1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right"/>
    </xf>
    <xf numFmtId="3" fontId="28" fillId="0" borderId="0" xfId="0" applyNumberFormat="1" applyFont="1" applyAlignment="1"/>
    <xf numFmtId="3" fontId="6" fillId="0" borderId="0" xfId="0" applyNumberFormat="1" applyFont="1"/>
    <xf numFmtId="3" fontId="53" fillId="0" borderId="0" xfId="0" applyNumberFormat="1" applyFont="1" applyBorder="1"/>
    <xf numFmtId="3" fontId="53" fillId="0" borderId="0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/>
    <xf numFmtId="3" fontId="54" fillId="0" borderId="0" xfId="0" applyNumberFormat="1" applyFont="1"/>
    <xf numFmtId="3" fontId="53" fillId="0" borderId="0" xfId="0" applyNumberFormat="1" applyFont="1" applyAlignment="1">
      <alignment horizontal="center"/>
    </xf>
    <xf numFmtId="3" fontId="54" fillId="0" borderId="0" xfId="0" applyNumberFormat="1" applyFont="1" applyBorder="1" applyAlignment="1"/>
    <xf numFmtId="3" fontId="56" fillId="0" borderId="0" xfId="0" applyNumberFormat="1" applyFont="1"/>
    <xf numFmtId="3" fontId="31" fillId="0" borderId="0" xfId="0" applyNumberFormat="1" applyFont="1" applyAlignment="1">
      <alignment horizontal="left"/>
    </xf>
    <xf numFmtId="164" fontId="58" fillId="0" borderId="0" xfId="0" applyNumberFormat="1" applyFont="1"/>
    <xf numFmtId="3" fontId="0" fillId="0" borderId="0" xfId="0" applyNumberFormat="1" applyBorder="1"/>
    <xf numFmtId="164" fontId="59" fillId="0" borderId="0" xfId="0" applyNumberFormat="1" applyFont="1" applyAlignment="1">
      <alignment horizontal="center"/>
    </xf>
    <xf numFmtId="164" fontId="26" fillId="0" borderId="21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wrapText="1"/>
    </xf>
    <xf numFmtId="164" fontId="26" fillId="0" borderId="6" xfId="0" applyNumberFormat="1" applyFont="1" applyBorder="1" applyAlignment="1">
      <alignment horizontal="center" vertical="center"/>
    </xf>
    <xf numFmtId="3" fontId="26" fillId="0" borderId="26" xfId="0" applyNumberFormat="1" applyFont="1" applyBorder="1" applyAlignment="1">
      <alignment horizontal="center" wrapText="1"/>
    </xf>
    <xf numFmtId="3" fontId="61" fillId="0" borderId="6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164" fontId="65" fillId="0" borderId="7" xfId="1" applyNumberFormat="1" applyFont="1" applyBorder="1"/>
    <xf numFmtId="164" fontId="66" fillId="0" borderId="7" xfId="1" applyNumberFormat="1" applyFont="1" applyBorder="1"/>
    <xf numFmtId="164" fontId="67" fillId="0" borderId="7" xfId="1" applyNumberFormat="1" applyFont="1" applyBorder="1"/>
    <xf numFmtId="164" fontId="68" fillId="0" borderId="8" xfId="1" applyNumberFormat="1" applyFont="1" applyBorder="1"/>
    <xf numFmtId="3" fontId="13" fillId="0" borderId="0" xfId="0" applyNumberFormat="1" applyFont="1" applyBorder="1" applyAlignment="1"/>
    <xf numFmtId="164" fontId="69" fillId="0" borderId="9" xfId="0" applyNumberFormat="1" applyFont="1" applyBorder="1"/>
    <xf numFmtId="37" fontId="8" fillId="0" borderId="7" xfId="0" applyNumberFormat="1" applyFont="1" applyBorder="1"/>
    <xf numFmtId="37" fontId="10" fillId="0" borderId="7" xfId="0" applyNumberFormat="1" applyFont="1" applyBorder="1"/>
    <xf numFmtId="3" fontId="31" fillId="0" borderId="0" xfId="0" applyNumberFormat="1" applyFont="1" applyAlignment="1">
      <alignment horizontal="center"/>
    </xf>
    <xf numFmtId="3" fontId="2" fillId="0" borderId="19" xfId="0" quotePrefix="1" applyNumberFormat="1" applyFont="1" applyBorder="1"/>
    <xf numFmtId="3" fontId="2" fillId="0" borderId="1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center"/>
    </xf>
    <xf numFmtId="3" fontId="31" fillId="0" borderId="0" xfId="0" applyNumberFormat="1" applyFont="1" applyAlignment="1"/>
    <xf numFmtId="3" fontId="28" fillId="0" borderId="0" xfId="0" applyNumberFormat="1" applyFont="1" applyAlignment="1">
      <alignment horizontal="left"/>
    </xf>
    <xf numFmtId="3" fontId="2" fillId="0" borderId="14" xfId="0" applyNumberFormat="1" applyFont="1" applyBorder="1"/>
    <xf numFmtId="3" fontId="3" fillId="0" borderId="14" xfId="0" applyNumberFormat="1" applyFont="1" applyBorder="1"/>
    <xf numFmtId="3" fontId="70" fillId="0" borderId="23" xfId="1" applyNumberFormat="1" applyFont="1" applyBorder="1" applyAlignment="1">
      <alignment horizontal="center"/>
    </xf>
    <xf numFmtId="164" fontId="63" fillId="0" borderId="7" xfId="1" applyNumberFormat="1" applyFont="1" applyBorder="1" applyAlignment="1"/>
    <xf numFmtId="3" fontId="73" fillId="0" borderId="0" xfId="0" applyNumberFormat="1" applyFont="1" applyAlignment="1"/>
    <xf numFmtId="3" fontId="21" fillId="0" borderId="0" xfId="0" applyNumberFormat="1" applyFont="1" applyAlignment="1">
      <alignment horizontal="center"/>
    </xf>
    <xf numFmtId="37" fontId="8" fillId="0" borderId="7" xfId="0" quotePrefix="1" applyNumberFormat="1" applyFont="1" applyBorder="1"/>
    <xf numFmtId="37" fontId="2" fillId="0" borderId="0" xfId="0" applyNumberFormat="1" applyFont="1"/>
    <xf numFmtId="3" fontId="2" fillId="0" borderId="2" xfId="0" applyNumberFormat="1" applyFont="1" applyFill="1" applyBorder="1"/>
    <xf numFmtId="3" fontId="74" fillId="0" borderId="23" xfId="0" applyNumberFormat="1" applyFont="1" applyBorder="1" applyAlignment="1">
      <alignment horizontal="right"/>
    </xf>
    <xf numFmtId="3" fontId="74" fillId="0" borderId="7" xfId="0" applyNumberFormat="1" applyFont="1" applyBorder="1" applyAlignment="1">
      <alignment horizontal="right"/>
    </xf>
    <xf numFmtId="3" fontId="74" fillId="0" borderId="7" xfId="0" applyNumberFormat="1" applyFont="1" applyBorder="1"/>
    <xf numFmtId="3" fontId="75" fillId="0" borderId="7" xfId="0" applyNumberFormat="1" applyFont="1" applyBorder="1" applyAlignment="1">
      <alignment horizontal="right"/>
    </xf>
    <xf numFmtId="3" fontId="74" fillId="0" borderId="7" xfId="0" applyNumberFormat="1" applyFont="1" applyBorder="1" applyAlignment="1">
      <alignment horizontal="center"/>
    </xf>
    <xf numFmtId="3" fontId="74" fillId="0" borderId="6" xfId="0" applyNumberFormat="1" applyFont="1" applyBorder="1" applyAlignment="1">
      <alignment horizontal="center"/>
    </xf>
    <xf numFmtId="3" fontId="74" fillId="0" borderId="23" xfId="0" applyNumberFormat="1" applyFont="1" applyBorder="1"/>
    <xf numFmtId="3" fontId="74" fillId="0" borderId="23" xfId="0" quotePrefix="1" applyNumberFormat="1" applyFont="1" applyBorder="1" applyAlignment="1">
      <alignment horizontal="center"/>
    </xf>
    <xf numFmtId="3" fontId="74" fillId="0" borderId="23" xfId="0" applyNumberFormat="1" applyFont="1" applyBorder="1" applyAlignment="1">
      <alignment horizontal="center"/>
    </xf>
    <xf numFmtId="3" fontId="74" fillId="0" borderId="7" xfId="0" quotePrefix="1" applyNumberFormat="1" applyFont="1" applyBorder="1" applyAlignment="1">
      <alignment horizontal="center"/>
    </xf>
    <xf numFmtId="3" fontId="75" fillId="0" borderId="7" xfId="0" applyNumberFormat="1" applyFont="1" applyBorder="1"/>
    <xf numFmtId="3" fontId="75" fillId="0" borderId="7" xfId="0" applyNumberFormat="1" applyFont="1" applyBorder="1" applyAlignment="1">
      <alignment horizontal="center"/>
    </xf>
    <xf numFmtId="37" fontId="74" fillId="0" borderId="7" xfId="0" applyNumberFormat="1" applyFont="1" applyBorder="1"/>
    <xf numFmtId="3" fontId="74" fillId="0" borderId="8" xfId="0" applyNumberFormat="1" applyFont="1" applyBorder="1"/>
    <xf numFmtId="3" fontId="74" fillId="0" borderId="8" xfId="0" applyNumberFormat="1" applyFont="1" applyBorder="1" applyAlignment="1">
      <alignment horizontal="center"/>
    </xf>
    <xf numFmtId="3" fontId="2" fillId="0" borderId="9" xfId="0" applyNumberFormat="1" applyFont="1" applyBorder="1"/>
    <xf numFmtId="3" fontId="33" fillId="0" borderId="21" xfId="0" applyNumberFormat="1" applyFont="1" applyBorder="1" applyAlignment="1">
      <alignment horizontal="center"/>
    </xf>
    <xf numFmtId="3" fontId="33" fillId="0" borderId="6" xfId="0" applyNumberFormat="1" applyFont="1" applyBorder="1" applyAlignment="1">
      <alignment horizontal="center"/>
    </xf>
    <xf numFmtId="3" fontId="76" fillId="0" borderId="7" xfId="1" quotePrefix="1" applyNumberFormat="1" applyFont="1" applyBorder="1" applyAlignment="1">
      <alignment horizontal="center"/>
    </xf>
    <xf numFmtId="3" fontId="76" fillId="0" borderId="7" xfId="1" applyNumberFormat="1" applyFont="1" applyBorder="1"/>
    <xf numFmtId="3" fontId="77" fillId="0" borderId="7" xfId="1" applyNumberFormat="1" applyFont="1" applyBorder="1" applyAlignment="1">
      <alignment horizontal="center"/>
    </xf>
    <xf numFmtId="3" fontId="76" fillId="0" borderId="7" xfId="1" applyNumberFormat="1" applyFont="1" applyBorder="1" applyAlignment="1">
      <alignment horizontal="center"/>
    </xf>
    <xf numFmtId="3" fontId="78" fillId="0" borderId="7" xfId="1" applyNumberFormat="1" applyFont="1" applyBorder="1" applyAlignment="1">
      <alignment horizontal="center"/>
    </xf>
    <xf numFmtId="3" fontId="79" fillId="0" borderId="8" xfId="0" applyNumberFormat="1" applyFont="1" applyBorder="1" applyAlignment="1">
      <alignment horizontal="center"/>
    </xf>
    <xf numFmtId="3" fontId="80" fillId="0" borderId="7" xfId="1" quotePrefix="1" applyNumberFormat="1" applyFont="1" applyBorder="1" applyAlignment="1">
      <alignment horizontal="center"/>
    </xf>
    <xf numFmtId="3" fontId="80" fillId="0" borderId="7" xfId="1" applyNumberFormat="1" applyFont="1" applyBorder="1"/>
    <xf numFmtId="3" fontId="81" fillId="0" borderId="7" xfId="1" applyNumberFormat="1" applyFont="1" applyBorder="1" applyAlignment="1">
      <alignment horizontal="center"/>
    </xf>
    <xf numFmtId="3" fontId="80" fillId="0" borderId="7" xfId="1" applyNumberFormat="1" applyFont="1" applyBorder="1" applyAlignment="1">
      <alignment horizontal="center"/>
    </xf>
    <xf numFmtId="3" fontId="82" fillId="0" borderId="7" xfId="1" applyNumberFormat="1" applyFont="1" applyBorder="1" applyAlignment="1">
      <alignment horizontal="center"/>
    </xf>
    <xf numFmtId="3" fontId="82" fillId="0" borderId="18" xfId="1" applyNumberFormat="1" applyFont="1" applyBorder="1" applyAlignment="1">
      <alignment horizontal="center"/>
    </xf>
    <xf numFmtId="3" fontId="83" fillId="0" borderId="8" xfId="0" applyNumberFormat="1" applyFont="1" applyBorder="1" applyAlignment="1">
      <alignment horizontal="center"/>
    </xf>
    <xf numFmtId="3" fontId="2" fillId="0" borderId="27" xfId="0" applyNumberFormat="1" applyFont="1" applyBorder="1"/>
    <xf numFmtId="37" fontId="3" fillId="0" borderId="0" xfId="0" applyNumberFormat="1" applyFont="1"/>
    <xf numFmtId="3" fontId="84" fillId="0" borderId="0" xfId="0" applyNumberFormat="1" applyFont="1"/>
    <xf numFmtId="3" fontId="41" fillId="0" borderId="0" xfId="0" applyNumberFormat="1" applyFont="1"/>
    <xf numFmtId="3" fontId="8" fillId="0" borderId="19" xfId="0" applyNumberFormat="1" applyFont="1" applyBorder="1"/>
    <xf numFmtId="3" fontId="10" fillId="0" borderId="23" xfId="0" applyNumberFormat="1" applyFont="1" applyBorder="1"/>
    <xf numFmtId="37" fontId="8" fillId="0" borderId="27" xfId="0" applyNumberFormat="1" applyFont="1" applyBorder="1"/>
    <xf numFmtId="37" fontId="10" fillId="0" borderId="27" xfId="0" applyNumberFormat="1" applyFont="1" applyBorder="1"/>
    <xf numFmtId="3" fontId="85" fillId="0" borderId="23" xfId="0" applyNumberFormat="1" applyFont="1" applyBorder="1" applyAlignment="1">
      <alignment horizontal="right"/>
    </xf>
    <xf numFmtId="3" fontId="85" fillId="0" borderId="7" xfId="0" applyNumberFormat="1" applyFont="1" applyBorder="1" applyAlignment="1">
      <alignment horizontal="right"/>
    </xf>
    <xf numFmtId="3" fontId="86" fillId="0" borderId="7" xfId="0" applyNumberFormat="1" applyFont="1" applyBorder="1" applyAlignment="1">
      <alignment horizontal="right"/>
    </xf>
    <xf numFmtId="3" fontId="85" fillId="0" borderId="7" xfId="0" applyNumberFormat="1" applyFont="1" applyBorder="1" applyAlignment="1">
      <alignment horizontal="center"/>
    </xf>
    <xf numFmtId="3" fontId="85" fillId="0" borderId="8" xfId="0" applyNumberFormat="1" applyFont="1" applyBorder="1" applyAlignment="1">
      <alignment horizontal="center"/>
    </xf>
    <xf numFmtId="38" fontId="0" fillId="0" borderId="0" xfId="0" applyNumberFormat="1"/>
    <xf numFmtId="38" fontId="0" fillId="0" borderId="0" xfId="0" applyNumberFormat="1" applyBorder="1"/>
    <xf numFmtId="38" fontId="57" fillId="0" borderId="32" xfId="0" applyNumberFormat="1" applyFont="1" applyBorder="1" applyAlignment="1">
      <alignment horizontal="right"/>
    </xf>
    <xf numFmtId="38" fontId="50" fillId="0" borderId="26" xfId="0" applyNumberFormat="1" applyFont="1" applyBorder="1" applyAlignment="1">
      <alignment horizontal="center" vertical="center"/>
    </xf>
    <xf numFmtId="38" fontId="50" fillId="0" borderId="4" xfId="0" applyNumberFormat="1" applyFont="1" applyBorder="1" applyAlignment="1">
      <alignment horizontal="center" vertical="center"/>
    </xf>
    <xf numFmtId="38" fontId="61" fillId="0" borderId="6" xfId="0" applyNumberFormat="1" applyFont="1" applyBorder="1" applyAlignment="1">
      <alignment horizontal="center" vertical="center" wrapText="1"/>
    </xf>
    <xf numFmtId="38" fontId="2" fillId="0" borderId="0" xfId="0" applyNumberFormat="1" applyFont="1"/>
    <xf numFmtId="38" fontId="64" fillId="0" borderId="0" xfId="0" applyNumberFormat="1" applyFont="1" applyAlignment="1">
      <alignment horizontal="right"/>
    </xf>
    <xf numFmtId="38" fontId="54" fillId="0" borderId="0" xfId="0" applyNumberFormat="1" applyFont="1" applyBorder="1" applyAlignment="1"/>
    <xf numFmtId="38" fontId="8" fillId="0" borderId="0" xfId="0" applyNumberFormat="1" applyFont="1" applyBorder="1" applyAlignment="1"/>
    <xf numFmtId="38" fontId="13" fillId="0" borderId="0" xfId="0" applyNumberFormat="1" applyFont="1" applyBorder="1" applyAlignment="1"/>
    <xf numFmtId="38" fontId="13" fillId="0" borderId="0" xfId="0" applyNumberFormat="1" applyFont="1" applyBorder="1" applyAlignment="1">
      <alignment horizontal="right"/>
    </xf>
    <xf numFmtId="38" fontId="54" fillId="0" borderId="0" xfId="0" applyNumberFormat="1" applyFont="1" applyBorder="1" applyAlignment="1">
      <alignment horizontal="right"/>
    </xf>
    <xf numFmtId="38" fontId="28" fillId="0" borderId="0" xfId="0" applyNumberFormat="1" applyFont="1" applyAlignment="1"/>
    <xf numFmtId="38" fontId="28" fillId="0" borderId="0" xfId="0" applyNumberFormat="1" applyFont="1" applyAlignment="1">
      <alignment horizontal="right"/>
    </xf>
    <xf numFmtId="38" fontId="12" fillId="0" borderId="0" xfId="0" applyNumberFormat="1" applyFont="1" applyAlignment="1">
      <alignment horizontal="center"/>
    </xf>
    <xf numFmtId="38" fontId="32" fillId="0" borderId="0" xfId="0" applyNumberFormat="1" applyFont="1" applyAlignment="1">
      <alignment horizontal="center"/>
    </xf>
    <xf numFmtId="38" fontId="32" fillId="0" borderId="0" xfId="0" applyNumberFormat="1" applyFont="1" applyAlignment="1">
      <alignment horizontal="right"/>
    </xf>
    <xf numFmtId="38" fontId="31" fillId="0" borderId="0" xfId="0" applyNumberFormat="1" applyFont="1" applyAlignment="1">
      <alignment horizontal="left"/>
    </xf>
    <xf numFmtId="38" fontId="31" fillId="0" borderId="0" xfId="0" applyNumberFormat="1" applyFont="1" applyAlignment="1">
      <alignment horizontal="right"/>
    </xf>
    <xf numFmtId="164" fontId="89" fillId="0" borderId="0" xfId="0" applyNumberFormat="1" applyFont="1" applyAlignment="1">
      <alignment horizontal="left"/>
    </xf>
    <xf numFmtId="38" fontId="2" fillId="0" borderId="2" xfId="0" applyNumberFormat="1" applyFont="1" applyBorder="1"/>
    <xf numFmtId="3" fontId="91" fillId="0" borderId="0" xfId="0" applyNumberFormat="1" applyFont="1"/>
    <xf numFmtId="3" fontId="4" fillId="0" borderId="0" xfId="0" applyNumberFormat="1" applyFont="1" applyBorder="1" applyAlignment="1"/>
    <xf numFmtId="3" fontId="55" fillId="0" borderId="6" xfId="0" applyNumberFormat="1" applyFont="1" applyBorder="1" applyAlignment="1">
      <alignment horizontal="center"/>
    </xf>
    <xf numFmtId="38" fontId="62" fillId="0" borderId="4" xfId="0" applyNumberFormat="1" applyFont="1" applyBorder="1" applyAlignment="1">
      <alignment horizontal="center" vertical="center"/>
    </xf>
    <xf numFmtId="3" fontId="2" fillId="0" borderId="32" xfId="0" applyNumberFormat="1" applyFont="1" applyBorder="1"/>
    <xf numFmtId="0" fontId="38" fillId="0" borderId="0" xfId="0" applyFont="1"/>
    <xf numFmtId="3" fontId="24" fillId="0" borderId="9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3" fillId="0" borderId="30" xfId="0" applyNumberFormat="1" applyFont="1" applyBorder="1"/>
    <xf numFmtId="3" fontId="3" fillId="0" borderId="34" xfId="0" applyNumberFormat="1" applyFont="1" applyBorder="1"/>
    <xf numFmtId="3" fontId="2" fillId="0" borderId="35" xfId="0" quotePrefix="1" applyNumberFormat="1" applyFont="1" applyBorder="1" applyAlignment="1">
      <alignment horizontal="left"/>
    </xf>
    <xf numFmtId="3" fontId="39" fillId="0" borderId="0" xfId="0" applyNumberFormat="1" applyFont="1"/>
    <xf numFmtId="3" fontId="95" fillId="0" borderId="23" xfId="1" applyNumberFormat="1" applyFont="1" applyBorder="1" applyAlignment="1">
      <alignment horizontal="center"/>
    </xf>
    <xf numFmtId="38" fontId="95" fillId="0" borderId="23" xfId="1" applyNumberFormat="1" applyFont="1" applyBorder="1" applyAlignment="1">
      <alignment horizontal="center"/>
    </xf>
    <xf numFmtId="38" fontId="95" fillId="0" borderId="23" xfId="1" applyNumberFormat="1" applyFont="1" applyBorder="1" applyAlignment="1">
      <alignment horizontal="right"/>
    </xf>
    <xf numFmtId="38" fontId="63" fillId="0" borderId="23" xfId="1" applyNumberFormat="1" applyFont="1" applyBorder="1" applyAlignment="1">
      <alignment horizontal="right"/>
    </xf>
    <xf numFmtId="3" fontId="63" fillId="0" borderId="7" xfId="1" quotePrefix="1" applyNumberFormat="1" applyFont="1" applyBorder="1" applyAlignment="1">
      <alignment horizontal="center"/>
    </xf>
    <xf numFmtId="38" fontId="63" fillId="0" borderId="7" xfId="1" quotePrefix="1" applyNumberFormat="1" applyFont="1" applyBorder="1" applyAlignment="1">
      <alignment horizontal="right"/>
    </xf>
    <xf numFmtId="38" fontId="63" fillId="0" borderId="7" xfId="1" applyNumberFormat="1" applyFont="1" applyBorder="1"/>
    <xf numFmtId="38" fontId="63" fillId="0" borderId="7" xfId="1" applyNumberFormat="1" applyFont="1" applyBorder="1" applyAlignment="1"/>
    <xf numFmtId="38" fontId="63" fillId="0" borderId="7" xfId="1" applyNumberFormat="1" applyFont="1" applyBorder="1" applyAlignment="1">
      <alignment horizontal="right"/>
    </xf>
    <xf numFmtId="37" fontId="96" fillId="0" borderId="7" xfId="1" quotePrefix="1" applyNumberFormat="1" applyFont="1" applyBorder="1" applyAlignment="1">
      <alignment horizontal="right"/>
    </xf>
    <xf numFmtId="3" fontId="63" fillId="0" borderId="7" xfId="1" quotePrefix="1" applyNumberFormat="1" applyFont="1" applyBorder="1" applyAlignment="1">
      <alignment horizontal="right"/>
    </xf>
    <xf numFmtId="37" fontId="63" fillId="0" borderId="7" xfId="1" quotePrefix="1" applyNumberFormat="1" applyFont="1" applyBorder="1" applyAlignment="1">
      <alignment horizontal="right"/>
    </xf>
    <xf numFmtId="38" fontId="63" fillId="0" borderId="7" xfId="1" quotePrefix="1" applyNumberFormat="1" applyFont="1" applyBorder="1" applyAlignment="1"/>
    <xf numFmtId="38" fontId="95" fillId="0" borderId="7" xfId="1" applyNumberFormat="1" applyFont="1" applyBorder="1" applyAlignment="1">
      <alignment horizontal="right"/>
    </xf>
    <xf numFmtId="38" fontId="95" fillId="0" borderId="7" xfId="1" applyNumberFormat="1" applyFont="1" applyBorder="1"/>
    <xf numFmtId="3" fontId="63" fillId="0" borderId="7" xfId="1" applyNumberFormat="1" applyFont="1" applyBorder="1"/>
    <xf numFmtId="37" fontId="63" fillId="0" borderId="7" xfId="1" applyNumberFormat="1" applyFont="1" applyBorder="1" applyAlignment="1">
      <alignment horizontal="right"/>
    </xf>
    <xf numFmtId="3" fontId="63" fillId="0" borderId="7" xfId="1" applyNumberFormat="1" applyFont="1" applyBorder="1" applyAlignment="1">
      <alignment horizontal="center"/>
    </xf>
    <xf numFmtId="38" fontId="63" fillId="0" borderId="7" xfId="1" applyNumberFormat="1" applyFont="1" applyBorder="1" applyAlignment="1">
      <alignment horizontal="center"/>
    </xf>
    <xf numFmtId="3" fontId="63" fillId="0" borderId="7" xfId="1" applyNumberFormat="1" applyFont="1" applyBorder="1" applyAlignment="1"/>
    <xf numFmtId="3" fontId="63" fillId="0" borderId="7" xfId="1" applyNumberFormat="1" applyFont="1" applyBorder="1" applyAlignment="1">
      <alignment horizontal="right"/>
    </xf>
    <xf numFmtId="37" fontId="95" fillId="0" borderId="7" xfId="1" applyNumberFormat="1" applyFont="1" applyBorder="1"/>
    <xf numFmtId="38" fontId="97" fillId="0" borderId="7" xfId="1" applyNumberFormat="1" applyFont="1" applyBorder="1" applyAlignment="1">
      <alignment horizontal="right"/>
    </xf>
    <xf numFmtId="37" fontId="97" fillId="0" borderId="7" xfId="1" applyNumberFormat="1" applyFont="1" applyBorder="1"/>
    <xf numFmtId="38" fontId="97" fillId="0" borderId="7" xfId="1" applyNumberFormat="1" applyFont="1" applyBorder="1"/>
    <xf numFmtId="38" fontId="98" fillId="0" borderId="12" xfId="0" applyNumberFormat="1" applyFont="1" applyBorder="1" applyAlignment="1">
      <alignment horizontal="right"/>
    </xf>
    <xf numFmtId="37" fontId="98" fillId="0" borderId="18" xfId="1" applyNumberFormat="1" applyFont="1" applyBorder="1" applyAlignment="1">
      <alignment horizontal="right"/>
    </xf>
    <xf numFmtId="38" fontId="97" fillId="0" borderId="18" xfId="1" applyNumberFormat="1" applyFont="1" applyBorder="1" applyAlignment="1">
      <alignment horizontal="right"/>
    </xf>
    <xf numFmtId="38" fontId="98" fillId="0" borderId="12" xfId="0" applyNumberFormat="1" applyFont="1" applyBorder="1"/>
    <xf numFmtId="38" fontId="98" fillId="0" borderId="7" xfId="0" applyNumberFormat="1" applyFont="1" applyBorder="1" applyAlignment="1">
      <alignment horizontal="right"/>
    </xf>
    <xf numFmtId="38" fontId="99" fillId="0" borderId="8" xfId="0" applyNumberFormat="1" applyFont="1" applyBorder="1" applyAlignment="1">
      <alignment horizontal="right"/>
    </xf>
    <xf numFmtId="38" fontId="99" fillId="0" borderId="8" xfId="0" applyNumberFormat="1" applyFont="1" applyBorder="1"/>
    <xf numFmtId="3" fontId="2" fillId="0" borderId="36" xfId="0" applyNumberFormat="1" applyFont="1" applyBorder="1"/>
    <xf numFmtId="3" fontId="24" fillId="0" borderId="0" xfId="0" applyNumberFormat="1" applyFont="1" applyAlignment="1">
      <alignment horizontal="center"/>
    </xf>
    <xf numFmtId="3" fontId="100" fillId="0" borderId="9" xfId="0" applyNumberFormat="1" applyFont="1" applyBorder="1"/>
    <xf numFmtId="3" fontId="8" fillId="0" borderId="12" xfId="0" applyNumberFormat="1" applyFont="1" applyBorder="1" applyAlignment="1">
      <alignment wrapText="1"/>
    </xf>
    <xf numFmtId="3" fontId="2" fillId="0" borderId="27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37" xfId="0" applyNumberFormat="1" applyFont="1" applyBorder="1"/>
    <xf numFmtId="3" fontId="2" fillId="0" borderId="9" xfId="0" quotePrefix="1" applyNumberFormat="1" applyFont="1" applyBorder="1"/>
    <xf numFmtId="3" fontId="2" fillId="0" borderId="26" xfId="0" applyNumberFormat="1" applyFont="1" applyBorder="1"/>
    <xf numFmtId="3" fontId="3" fillId="0" borderId="0" xfId="0" applyNumberFormat="1" applyFont="1" applyAlignment="1">
      <alignment horizontal="center"/>
    </xf>
    <xf numFmtId="0" fontId="101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left" vertical="top" wrapText="1"/>
    </xf>
    <xf numFmtId="3" fontId="102" fillId="0" borderId="0" xfId="0" applyNumberFormat="1" applyFont="1" applyAlignment="1">
      <alignment horizontal="right"/>
    </xf>
    <xf numFmtId="3" fontId="103" fillId="0" borderId="0" xfId="0" applyNumberFormat="1" applyFont="1"/>
    <xf numFmtId="0" fontId="15" fillId="0" borderId="9" xfId="0" applyFont="1" applyBorder="1" applyAlignment="1">
      <alignment vertical="top" wrapText="1"/>
    </xf>
    <xf numFmtId="3" fontId="106" fillId="0" borderId="0" xfId="0" applyNumberFormat="1" applyFont="1"/>
    <xf numFmtId="3" fontId="107" fillId="0" borderId="5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103" fillId="0" borderId="7" xfId="0" applyNumberFormat="1" applyFont="1" applyBorder="1" applyAlignment="1">
      <alignment horizontal="center"/>
    </xf>
    <xf numFmtId="3" fontId="103" fillId="0" borderId="2" xfId="0" applyNumberFormat="1" applyFont="1" applyBorder="1"/>
    <xf numFmtId="3" fontId="19" fillId="0" borderId="7" xfId="0" applyNumberFormat="1" applyFont="1" applyBorder="1" applyAlignment="1">
      <alignment horizontal="center"/>
    </xf>
    <xf numFmtId="3" fontId="19" fillId="0" borderId="2" xfId="0" applyNumberFormat="1" applyFont="1" applyBorder="1"/>
    <xf numFmtId="3" fontId="19" fillId="0" borderId="8" xfId="0" applyNumberFormat="1" applyFont="1" applyBorder="1" applyAlignment="1">
      <alignment horizontal="center"/>
    </xf>
    <xf numFmtId="3" fontId="19" fillId="0" borderId="17" xfId="0" applyNumberFormat="1" applyFont="1" applyBorder="1"/>
    <xf numFmtId="3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/>
    <xf numFmtId="3" fontId="103" fillId="0" borderId="23" xfId="0" applyNumberFormat="1" applyFont="1" applyBorder="1" applyAlignment="1">
      <alignment horizontal="center"/>
    </xf>
    <xf numFmtId="3" fontId="103" fillId="0" borderId="1" xfId="0" applyNumberFormat="1" applyFont="1" applyBorder="1"/>
    <xf numFmtId="37" fontId="103" fillId="0" borderId="2" xfId="0" applyNumberFormat="1" applyFont="1" applyBorder="1"/>
    <xf numFmtId="3" fontId="103" fillId="0" borderId="2" xfId="0" applyNumberFormat="1" applyFont="1" applyBorder="1" applyAlignment="1">
      <alignment horizontal="center"/>
    </xf>
    <xf numFmtId="3" fontId="103" fillId="0" borderId="8" xfId="0" applyNumberFormat="1" applyFont="1" applyBorder="1" applyAlignment="1">
      <alignment horizontal="center"/>
    </xf>
    <xf numFmtId="3" fontId="103" fillId="0" borderId="17" xfId="0" applyNumberFormat="1" applyFont="1" applyBorder="1"/>
    <xf numFmtId="3" fontId="103" fillId="0" borderId="17" xfId="0" applyNumberFormat="1" applyFont="1" applyBorder="1" applyAlignment="1">
      <alignment horizontal="center"/>
    </xf>
    <xf numFmtId="3" fontId="108" fillId="0" borderId="0" xfId="0" applyNumberFormat="1" applyFont="1" applyAlignment="1">
      <alignment horizontal="center"/>
    </xf>
    <xf numFmtId="38" fontId="74" fillId="0" borderId="7" xfId="0" applyNumberFormat="1" applyFont="1" applyBorder="1" applyAlignment="1">
      <alignment horizontal="right"/>
    </xf>
    <xf numFmtId="38" fontId="103" fillId="0" borderId="2" xfId="0" applyNumberFormat="1" applyFont="1" applyBorder="1"/>
    <xf numFmtId="3" fontId="3" fillId="0" borderId="0" xfId="0" applyNumberFormat="1" applyFont="1" applyAlignment="1">
      <alignment horizontal="left"/>
    </xf>
    <xf numFmtId="3" fontId="73" fillId="0" borderId="0" xfId="0" applyNumberFormat="1" applyFont="1" applyAlignment="1"/>
    <xf numFmtId="0" fontId="0" fillId="0" borderId="0" xfId="0" applyAlignment="1"/>
    <xf numFmtId="166" fontId="5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3" fillId="0" borderId="4" xfId="0" applyNumberFormat="1" applyFont="1" applyBorder="1" applyAlignment="1">
      <alignment horizontal="center"/>
    </xf>
    <xf numFmtId="3" fontId="55" fillId="0" borderId="4" xfId="0" applyNumberFormat="1" applyFont="1" applyBorder="1" applyAlignment="1">
      <alignment horizontal="center" wrapText="1"/>
    </xf>
    <xf numFmtId="3" fontId="55" fillId="0" borderId="4" xfId="0" applyNumberFormat="1" applyFont="1" applyBorder="1" applyAlignment="1">
      <alignment horizontal="center"/>
    </xf>
    <xf numFmtId="3" fontId="52" fillId="0" borderId="21" xfId="0" applyNumberFormat="1" applyFont="1" applyBorder="1" applyAlignment="1">
      <alignment horizontal="center" vertical="center"/>
    </xf>
    <xf numFmtId="3" fontId="52" fillId="0" borderId="6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wrapText="1"/>
    </xf>
    <xf numFmtId="3" fontId="33" fillId="0" borderId="8" xfId="0" applyNumberFormat="1" applyFont="1" applyBorder="1" applyAlignment="1">
      <alignment horizontal="center"/>
    </xf>
    <xf numFmtId="3" fontId="24" fillId="0" borderId="0" xfId="0" applyNumberFormat="1" applyFont="1" applyAlignment="1">
      <alignment horizontal="center" vertical="center"/>
    </xf>
    <xf numFmtId="3" fontId="24" fillId="0" borderId="9" xfId="0" applyNumberFormat="1" applyFont="1" applyBorder="1" applyAlignment="1">
      <alignment horizontal="center"/>
    </xf>
    <xf numFmtId="3" fontId="68" fillId="0" borderId="4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3" fontId="2" fillId="0" borderId="12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164" fontId="69" fillId="0" borderId="0" xfId="0" applyNumberFormat="1" applyFont="1" applyAlignment="1">
      <alignment horizontal="left"/>
    </xf>
    <xf numFmtId="3" fontId="16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4" fontId="34" fillId="0" borderId="9" xfId="0" applyNumberFormat="1" applyFont="1" applyBorder="1" applyAlignment="1">
      <alignment horizontal="left"/>
    </xf>
    <xf numFmtId="3" fontId="17" fillId="0" borderId="32" xfId="0" applyNumberFormat="1" applyFont="1" applyBorder="1" applyAlignment="1">
      <alignment horizontal="center"/>
    </xf>
    <xf numFmtId="38" fontId="87" fillId="0" borderId="0" xfId="0" applyNumberFormat="1" applyFont="1" applyAlignment="1">
      <alignment horizontal="center"/>
    </xf>
    <xf numFmtId="38" fontId="24" fillId="0" borderId="0" xfId="0" applyNumberFormat="1" applyFont="1" applyAlignment="1">
      <alignment horizontal="right"/>
    </xf>
    <xf numFmtId="38" fontId="24" fillId="0" borderId="0" xfId="0" applyNumberFormat="1" applyFont="1" applyBorder="1" applyAlignment="1">
      <alignment horizontal="right"/>
    </xf>
    <xf numFmtId="164" fontId="71" fillId="2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Alignment="1">
      <alignment horizontal="right"/>
    </xf>
    <xf numFmtId="38" fontId="50" fillId="0" borderId="13" xfId="0" applyNumberFormat="1" applyFont="1" applyBorder="1" applyAlignment="1">
      <alignment horizontal="center" vertical="center"/>
    </xf>
    <xf numFmtId="38" fontId="50" fillId="0" borderId="5" xfId="0" applyNumberFormat="1" applyFont="1" applyBorder="1" applyAlignment="1">
      <alignment horizontal="center" vertical="center"/>
    </xf>
    <xf numFmtId="164" fontId="59" fillId="2" borderId="0" xfId="0" applyNumberFormat="1" applyFont="1" applyFill="1" applyBorder="1" applyAlignment="1">
      <alignment horizontal="center" vertical="center"/>
    </xf>
    <xf numFmtId="164" fontId="88" fillId="0" borderId="0" xfId="0" applyNumberFormat="1" applyFont="1" applyBorder="1" applyAlignment="1">
      <alignment horizontal="center"/>
    </xf>
    <xf numFmtId="38" fontId="90" fillId="0" borderId="9" xfId="0" applyNumberFormat="1" applyFont="1" applyBorder="1" applyAlignment="1">
      <alignment horizontal="right"/>
    </xf>
    <xf numFmtId="3" fontId="60" fillId="0" borderId="21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38" fontId="69" fillId="0" borderId="13" xfId="0" applyNumberFormat="1" applyFont="1" applyBorder="1" applyAlignment="1">
      <alignment horizontal="center" vertical="center"/>
    </xf>
    <xf numFmtId="38" fontId="69" fillId="0" borderId="5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left" vertical="top" wrapText="1"/>
    </xf>
    <xf numFmtId="0" fontId="104" fillId="0" borderId="0" xfId="0" applyFont="1" applyBorder="1" applyAlignment="1">
      <alignment horizontal="left" vertical="top" wrapText="1"/>
    </xf>
    <xf numFmtId="0" fontId="104" fillId="0" borderId="9" xfId="0" applyFont="1" applyBorder="1" applyAlignment="1">
      <alignment horizontal="left" vertical="top" wrapText="1"/>
    </xf>
    <xf numFmtId="3" fontId="105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0</xdr:col>
      <xdr:colOff>514350</xdr:colOff>
      <xdr:row>3</xdr:row>
      <xdr:rowOff>85725</xdr:rowOff>
    </xdr:to>
    <xdr:pic>
      <xdr:nvPicPr>
        <xdr:cNvPr id="75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152400"/>
          <a:ext cx="5143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38100</xdr:colOff>
      <xdr:row>3</xdr:row>
      <xdr:rowOff>0</xdr:rowOff>
    </xdr:to>
    <xdr:pic>
      <xdr:nvPicPr>
        <xdr:cNvPr id="104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47625" y="0"/>
          <a:ext cx="5334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590550</xdr:colOff>
      <xdr:row>3</xdr:row>
      <xdr:rowOff>0</xdr:rowOff>
    </xdr:to>
    <xdr:pic>
      <xdr:nvPicPr>
        <xdr:cNvPr id="32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38100"/>
          <a:ext cx="590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504825</xdr:colOff>
      <xdr:row>3</xdr:row>
      <xdr:rowOff>0</xdr:rowOff>
    </xdr:to>
    <xdr:pic>
      <xdr:nvPicPr>
        <xdr:cNvPr id="125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381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0</xdr:col>
      <xdr:colOff>571500</xdr:colOff>
      <xdr:row>3</xdr:row>
      <xdr:rowOff>0</xdr:rowOff>
    </xdr:to>
    <xdr:pic>
      <xdr:nvPicPr>
        <xdr:cNvPr id="13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76200"/>
          <a:ext cx="5715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590550</xdr:colOff>
      <xdr:row>3</xdr:row>
      <xdr:rowOff>0</xdr:rowOff>
    </xdr:to>
    <xdr:pic>
      <xdr:nvPicPr>
        <xdr:cNvPr id="133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9525"/>
          <a:ext cx="5905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590550</xdr:colOff>
      <xdr:row>3</xdr:row>
      <xdr:rowOff>0</xdr:rowOff>
    </xdr:to>
    <xdr:pic>
      <xdr:nvPicPr>
        <xdr:cNvPr id="133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9525"/>
          <a:ext cx="5905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95250</xdr:colOff>
      <xdr:row>3</xdr:row>
      <xdr:rowOff>0</xdr:rowOff>
    </xdr:to>
    <xdr:pic>
      <xdr:nvPicPr>
        <xdr:cNvPr id="133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9525"/>
          <a:ext cx="7239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opLeftCell="A7" zoomScale="82" zoomScaleNormal="82" workbookViewId="0">
      <selection activeCell="J10" sqref="J10"/>
    </sheetView>
  </sheetViews>
  <sheetFormatPr defaultRowHeight="15"/>
  <cols>
    <col min="1" max="1" width="38.42578125" style="2" customWidth="1"/>
    <col min="2" max="2" width="6.85546875" style="1" customWidth="1"/>
    <col min="3" max="3" width="7.28515625" style="1" customWidth="1"/>
    <col min="4" max="5" width="17.5703125" style="1" customWidth="1"/>
    <col min="6" max="7" width="18" style="145" hidden="1" customWidth="1"/>
    <col min="8" max="9" width="17.85546875" style="2" hidden="1" customWidth="1"/>
    <col min="10" max="11" width="19.42578125" style="2" customWidth="1"/>
    <col min="12" max="12" width="21" style="2" customWidth="1"/>
    <col min="13" max="13" width="20" style="2" customWidth="1"/>
    <col min="14" max="16384" width="9.140625" style="2"/>
  </cols>
  <sheetData>
    <row r="1" spans="1:11" ht="22.5" customHeight="1"/>
    <row r="2" spans="1:11" customFormat="1" ht="22.5" customHeight="1">
      <c r="A2" s="135" t="s">
        <v>637</v>
      </c>
      <c r="B2" s="37"/>
      <c r="C2" s="37"/>
      <c r="D2" s="37"/>
      <c r="E2" s="37"/>
      <c r="F2" s="143"/>
      <c r="G2" s="143"/>
      <c r="H2" s="2"/>
      <c r="I2" s="2"/>
      <c r="J2" s="414" t="s">
        <v>640</v>
      </c>
      <c r="K2" s="414"/>
    </row>
    <row r="3" spans="1:11" customFormat="1" ht="22.5" customHeight="1">
      <c r="A3" s="142" t="s">
        <v>638</v>
      </c>
      <c r="B3" s="37"/>
      <c r="C3" s="37"/>
      <c r="D3" s="37"/>
      <c r="E3" s="37"/>
      <c r="F3" s="143"/>
      <c r="G3" s="143"/>
      <c r="H3" s="2"/>
      <c r="I3" s="2"/>
      <c r="J3" s="425" t="s">
        <v>639</v>
      </c>
      <c r="K3" s="425"/>
    </row>
    <row r="4" spans="1:11" customFormat="1" ht="22.5" customHeight="1">
      <c r="A4" s="202" t="s">
        <v>642</v>
      </c>
      <c r="B4" s="38"/>
      <c r="C4" s="38"/>
      <c r="D4" s="38"/>
      <c r="E4" s="38"/>
      <c r="F4" s="144"/>
      <c r="G4" s="144"/>
      <c r="H4" s="277"/>
      <c r="I4" s="277"/>
      <c r="J4" s="426" t="s">
        <v>641</v>
      </c>
      <c r="K4" s="426"/>
    </row>
    <row r="5" spans="1:11" ht="40.5" customHeight="1">
      <c r="A5" s="415" t="s">
        <v>58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</row>
    <row r="6" spans="1:11" ht="26.25" customHeight="1">
      <c r="A6" s="416" t="s">
        <v>605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</row>
    <row r="7" spans="1:11" ht="21">
      <c r="A7" s="3"/>
      <c r="I7" s="4"/>
      <c r="J7" s="5"/>
      <c r="K7" s="26" t="s">
        <v>59</v>
      </c>
    </row>
    <row r="8" spans="1:11" s="227" customFormat="1" ht="20.25" customHeight="1">
      <c r="A8" s="421" t="s">
        <v>60</v>
      </c>
      <c r="B8" s="423" t="s">
        <v>61</v>
      </c>
      <c r="C8" s="278" t="s">
        <v>62</v>
      </c>
      <c r="D8" s="427" t="s">
        <v>432</v>
      </c>
      <c r="E8" s="427"/>
      <c r="F8" s="420" t="s">
        <v>591</v>
      </c>
      <c r="G8" s="420"/>
      <c r="H8" s="418" t="s">
        <v>532</v>
      </c>
      <c r="I8" s="418"/>
      <c r="J8" s="419" t="s">
        <v>533</v>
      </c>
      <c r="K8" s="420"/>
    </row>
    <row r="9" spans="1:11" s="219" customFormat="1" ht="21.75" customHeight="1">
      <c r="A9" s="422"/>
      <c r="B9" s="424"/>
      <c r="C9" s="279" t="s">
        <v>63</v>
      </c>
      <c r="D9" s="330" t="s">
        <v>623</v>
      </c>
      <c r="E9" s="330" t="s">
        <v>624</v>
      </c>
      <c r="F9" s="330" t="s">
        <v>64</v>
      </c>
      <c r="G9" s="330" t="s">
        <v>65</v>
      </c>
      <c r="H9" s="330" t="s">
        <v>64</v>
      </c>
      <c r="I9" s="330" t="s">
        <v>65</v>
      </c>
      <c r="J9" s="330" t="s">
        <v>623</v>
      </c>
      <c r="K9" s="330" t="s">
        <v>624</v>
      </c>
    </row>
    <row r="10" spans="1:11" s="219" customFormat="1" ht="25.5" customHeight="1">
      <c r="A10" s="268" t="s">
        <v>66</v>
      </c>
      <c r="B10" s="269" t="s">
        <v>67</v>
      </c>
      <c r="C10" s="270" t="s">
        <v>68</v>
      </c>
      <c r="D10" s="262">
        <v>44791591402</v>
      </c>
      <c r="E10" s="262">
        <v>38872088296</v>
      </c>
      <c r="F10" s="262">
        <v>42315785100</v>
      </c>
      <c r="G10" s="301">
        <f>37954116709+246635000</f>
        <v>38200751709</v>
      </c>
      <c r="H10" s="268">
        <f>TMBC!C369</f>
        <v>9069710881</v>
      </c>
      <c r="I10" s="262">
        <v>42653584091</v>
      </c>
      <c r="J10" s="262">
        <v>176228366398</v>
      </c>
      <c r="K10" s="262">
        <v>152834564825</v>
      </c>
    </row>
    <row r="11" spans="1:11" s="219" customFormat="1" ht="25.5" customHeight="1">
      <c r="A11" s="264" t="s">
        <v>69</v>
      </c>
      <c r="B11" s="271" t="s">
        <v>70</v>
      </c>
      <c r="C11" s="266" t="s">
        <v>76</v>
      </c>
      <c r="D11" s="263">
        <f>TMBC!C373</f>
        <v>20436000</v>
      </c>
      <c r="E11" s="263">
        <v>994679376</v>
      </c>
      <c r="F11" s="263">
        <v>0</v>
      </c>
      <c r="G11" s="302">
        <v>330243000</v>
      </c>
      <c r="H11" s="264">
        <f>TMBC!C373</f>
        <v>20436000</v>
      </c>
      <c r="I11" s="263">
        <v>18183091</v>
      </c>
      <c r="J11" s="263">
        <v>61242909</v>
      </c>
      <c r="K11" s="263">
        <v>1394726558</v>
      </c>
    </row>
    <row r="12" spans="1:11" s="219" customFormat="1" ht="25.5" customHeight="1">
      <c r="A12" s="264" t="s">
        <v>71</v>
      </c>
      <c r="B12" s="266">
        <v>10</v>
      </c>
      <c r="C12" s="266" t="s">
        <v>73</v>
      </c>
      <c r="D12" s="263">
        <f t="shared" ref="D12:I12" si="0">D10-D11</f>
        <v>44771155402</v>
      </c>
      <c r="E12" s="263">
        <f t="shared" si="0"/>
        <v>37877408920</v>
      </c>
      <c r="F12" s="302">
        <f t="shared" si="0"/>
        <v>42315785100</v>
      </c>
      <c r="G12" s="302">
        <f t="shared" si="0"/>
        <v>37870508709</v>
      </c>
      <c r="H12" s="263">
        <f t="shared" si="0"/>
        <v>9049274881</v>
      </c>
      <c r="I12" s="263">
        <f t="shared" si="0"/>
        <v>42635401000</v>
      </c>
      <c r="J12" s="263">
        <v>176167123489</v>
      </c>
      <c r="K12" s="263">
        <v>151439838267</v>
      </c>
    </row>
    <row r="13" spans="1:11" s="219" customFormat="1" ht="25.5" customHeight="1">
      <c r="A13" s="264" t="s">
        <v>72</v>
      </c>
      <c r="B13" s="266">
        <v>11</v>
      </c>
      <c r="C13" s="266" t="s">
        <v>78</v>
      </c>
      <c r="D13" s="263">
        <f>TMBC!C378</f>
        <v>33744916686</v>
      </c>
      <c r="E13" s="263">
        <v>28295312408</v>
      </c>
      <c r="F13" s="263">
        <v>34190123021</v>
      </c>
      <c r="G13" s="302">
        <f>28024422920+246635000</f>
        <v>28271057920</v>
      </c>
      <c r="H13" s="264">
        <f>TMBC!C379</f>
        <v>8637693232</v>
      </c>
      <c r="I13" s="263">
        <v>31343011802</v>
      </c>
      <c r="J13" s="263">
        <v>137829996370</v>
      </c>
      <c r="K13" s="263">
        <v>113376499265</v>
      </c>
    </row>
    <row r="14" spans="1:11" s="219" customFormat="1" ht="25.5" customHeight="1">
      <c r="A14" s="264" t="s">
        <v>74</v>
      </c>
      <c r="B14" s="266">
        <v>20</v>
      </c>
      <c r="C14" s="266"/>
      <c r="D14" s="263">
        <f t="shared" ref="D14:I14" si="1">D12-D13</f>
        <v>11026238716</v>
      </c>
      <c r="E14" s="263">
        <f t="shared" si="1"/>
        <v>9582096512</v>
      </c>
      <c r="F14" s="302">
        <f t="shared" si="1"/>
        <v>8125662079</v>
      </c>
      <c r="G14" s="302">
        <f t="shared" si="1"/>
        <v>9599450789</v>
      </c>
      <c r="H14" s="263">
        <f t="shared" si="1"/>
        <v>411581649</v>
      </c>
      <c r="I14" s="264">
        <f t="shared" si="1"/>
        <v>11292389198</v>
      </c>
      <c r="J14" s="302">
        <v>38337127119</v>
      </c>
      <c r="K14" s="302">
        <v>38063339002</v>
      </c>
    </row>
    <row r="15" spans="1:11" s="219" customFormat="1" ht="25.5" customHeight="1">
      <c r="A15" s="264" t="s">
        <v>75</v>
      </c>
      <c r="B15" s="266">
        <v>21</v>
      </c>
      <c r="C15" s="266" t="s">
        <v>416</v>
      </c>
      <c r="D15" s="263">
        <f>TMBC!C384</f>
        <v>266652094</v>
      </c>
      <c r="E15" s="263">
        <v>109074627</v>
      </c>
      <c r="F15" s="263">
        <v>128526291</v>
      </c>
      <c r="G15" s="302">
        <v>439035762</v>
      </c>
      <c r="H15" s="264">
        <v>1033312250</v>
      </c>
      <c r="I15" s="263">
        <v>646686713</v>
      </c>
      <c r="J15" s="263">
        <f>TMBC!D383</f>
        <v>1482735754</v>
      </c>
      <c r="K15" s="263">
        <v>1309683986</v>
      </c>
    </row>
    <row r="16" spans="1:11" s="219" customFormat="1" ht="25.5" customHeight="1">
      <c r="A16" s="264" t="s">
        <v>77</v>
      </c>
      <c r="B16" s="266">
        <v>22</v>
      </c>
      <c r="C16" s="266" t="s">
        <v>417</v>
      </c>
      <c r="D16" s="263">
        <f>TMBC!C386</f>
        <v>1174199955</v>
      </c>
      <c r="E16" s="263">
        <v>441621621</v>
      </c>
      <c r="F16" s="263">
        <v>829211762</v>
      </c>
      <c r="G16" s="302">
        <v>237598891</v>
      </c>
      <c r="H16" s="264">
        <f>TMBC!C387</f>
        <v>1021161995</v>
      </c>
      <c r="I16" s="263">
        <v>121288192</v>
      </c>
      <c r="J16" s="263">
        <v>2617500814</v>
      </c>
      <c r="K16" s="263">
        <v>844499129</v>
      </c>
    </row>
    <row r="17" spans="1:11" s="219" customFormat="1" ht="25.5" customHeight="1">
      <c r="A17" s="272" t="s">
        <v>625</v>
      </c>
      <c r="B17" s="273">
        <v>23</v>
      </c>
      <c r="C17" s="273"/>
      <c r="D17" s="265">
        <f>TMBC!C387</f>
        <v>1021161995</v>
      </c>
      <c r="E17" s="265">
        <v>441621621</v>
      </c>
      <c r="F17" s="265">
        <f>230000000+596642632</f>
        <v>826642632</v>
      </c>
      <c r="G17" s="303">
        <v>237598891</v>
      </c>
      <c r="H17" s="272">
        <f>TMBC!C388</f>
        <v>85780000</v>
      </c>
      <c r="I17" s="265">
        <v>121288192</v>
      </c>
      <c r="J17" s="265">
        <v>2342558724</v>
      </c>
      <c r="K17" s="265">
        <v>844499129</v>
      </c>
    </row>
    <row r="18" spans="1:11" s="219" customFormat="1" ht="25.5" customHeight="1">
      <c r="A18" s="264" t="s">
        <v>79</v>
      </c>
      <c r="B18" s="266">
        <v>24</v>
      </c>
      <c r="C18" s="266" t="s">
        <v>80</v>
      </c>
      <c r="D18" s="263">
        <f>TMBC!C393</f>
        <v>3619096931</v>
      </c>
      <c r="E18" s="263">
        <v>2995256607</v>
      </c>
      <c r="F18" s="263">
        <v>1277929998</v>
      </c>
      <c r="G18" s="302">
        <v>2426584990</v>
      </c>
      <c r="H18" s="264">
        <f>TMBC!C394</f>
        <v>300752000</v>
      </c>
      <c r="I18" s="263">
        <v>2025026918</v>
      </c>
      <c r="J18" s="263">
        <f>TMBC!D393</f>
        <v>11182707120</v>
      </c>
      <c r="K18" s="263">
        <v>9861698719</v>
      </c>
    </row>
    <row r="19" spans="1:11" s="219" customFormat="1" ht="25.5" customHeight="1">
      <c r="A19" s="264" t="s">
        <v>81</v>
      </c>
      <c r="B19" s="266">
        <v>25</v>
      </c>
      <c r="C19" s="266" t="s">
        <v>82</v>
      </c>
      <c r="D19" s="263">
        <f>TMBC!C401</f>
        <v>4547996540</v>
      </c>
      <c r="E19" s="263">
        <v>4611337036</v>
      </c>
      <c r="F19" s="263">
        <v>4096932991</v>
      </c>
      <c r="G19" s="302">
        <v>4795291683</v>
      </c>
      <c r="H19" s="264">
        <f>TMBC!C402</f>
        <v>2467699000</v>
      </c>
      <c r="I19" s="263">
        <v>6025136602</v>
      </c>
      <c r="J19" s="263">
        <f>TMBC!D401</f>
        <v>15480885298</v>
      </c>
      <c r="K19" s="263">
        <v>18277717802</v>
      </c>
    </row>
    <row r="20" spans="1:11" s="219" customFormat="1" ht="25.5" customHeight="1">
      <c r="A20" s="264" t="s">
        <v>83</v>
      </c>
      <c r="B20" s="266">
        <v>30</v>
      </c>
      <c r="C20" s="266"/>
      <c r="D20" s="264">
        <f>D14-D18-D19+D15-D16</f>
        <v>1951597384</v>
      </c>
      <c r="E20" s="264">
        <f t="shared" ref="E20:J20" si="2">E14-E18-E19+E15-E16</f>
        <v>1642955875</v>
      </c>
      <c r="F20" s="264">
        <f t="shared" si="2"/>
        <v>2050113619</v>
      </c>
      <c r="G20" s="264">
        <f t="shared" si="2"/>
        <v>2579010987</v>
      </c>
      <c r="H20" s="264">
        <f t="shared" si="2"/>
        <v>-2344719096</v>
      </c>
      <c r="I20" s="264">
        <f t="shared" si="2"/>
        <v>3767624199</v>
      </c>
      <c r="J20" s="264">
        <f t="shared" si="2"/>
        <v>10538769641</v>
      </c>
      <c r="K20" s="302">
        <v>10389107338</v>
      </c>
    </row>
    <row r="21" spans="1:11" s="219" customFormat="1" ht="25.5" customHeight="1">
      <c r="A21" s="264" t="s">
        <v>84</v>
      </c>
      <c r="B21" s="266">
        <v>31</v>
      </c>
      <c r="C21" s="266" t="s">
        <v>650</v>
      </c>
      <c r="D21" s="263">
        <v>189195576</v>
      </c>
      <c r="E21" s="263">
        <v>3000000</v>
      </c>
      <c r="F21" s="263">
        <v>1363635</v>
      </c>
      <c r="G21" s="302">
        <v>336363636</v>
      </c>
      <c r="H21" s="264">
        <v>2000000</v>
      </c>
      <c r="I21" s="263">
        <v>0</v>
      </c>
      <c r="J21" s="264">
        <v>195559211</v>
      </c>
      <c r="K21" s="264">
        <v>356732636</v>
      </c>
    </row>
    <row r="22" spans="1:11" s="219" customFormat="1" ht="25.5" customHeight="1">
      <c r="A22" s="264" t="s">
        <v>85</v>
      </c>
      <c r="B22" s="266">
        <v>32</v>
      </c>
      <c r="C22" s="266"/>
      <c r="D22" s="263">
        <v>39964000</v>
      </c>
      <c r="E22" s="263">
        <v>0</v>
      </c>
      <c r="F22" s="263">
        <v>14770000</v>
      </c>
      <c r="G22" s="302">
        <v>11946930</v>
      </c>
      <c r="H22" s="264">
        <v>134400000</v>
      </c>
      <c r="I22" s="263">
        <v>2000000</v>
      </c>
      <c r="J22" s="264">
        <v>189134000</v>
      </c>
      <c r="K22" s="264">
        <v>13992530</v>
      </c>
    </row>
    <row r="23" spans="1:11" s="219" customFormat="1" ht="25.5" customHeight="1">
      <c r="A23" s="264" t="s">
        <v>86</v>
      </c>
      <c r="B23" s="266">
        <v>40</v>
      </c>
      <c r="C23" s="266"/>
      <c r="D23" s="274">
        <f t="shared" ref="D23:J23" si="3">D21-D22</f>
        <v>149231576</v>
      </c>
      <c r="E23" s="274">
        <f t="shared" si="3"/>
        <v>3000000</v>
      </c>
      <c r="F23" s="274">
        <f t="shared" si="3"/>
        <v>-13406365</v>
      </c>
      <c r="G23" s="274">
        <f t="shared" si="3"/>
        <v>324416706</v>
      </c>
      <c r="H23" s="274">
        <f t="shared" si="3"/>
        <v>-132400000</v>
      </c>
      <c r="I23" s="274">
        <f t="shared" si="3"/>
        <v>-2000000</v>
      </c>
      <c r="J23" s="274">
        <f t="shared" si="3"/>
        <v>6425211</v>
      </c>
      <c r="K23" s="302">
        <v>342740106</v>
      </c>
    </row>
    <row r="24" spans="1:11" s="219" customFormat="1" ht="25.5" customHeight="1">
      <c r="A24" s="264" t="s">
        <v>87</v>
      </c>
      <c r="B24" s="266">
        <v>50</v>
      </c>
      <c r="C24" s="266"/>
      <c r="D24" s="264">
        <f t="shared" ref="D24:J24" si="4">D20+D23</f>
        <v>2100828960</v>
      </c>
      <c r="E24" s="264">
        <f t="shared" si="4"/>
        <v>1645955875</v>
      </c>
      <c r="F24" s="302">
        <f t="shared" si="4"/>
        <v>2036707254</v>
      </c>
      <c r="G24" s="302">
        <f t="shared" si="4"/>
        <v>2903427693</v>
      </c>
      <c r="H24" s="264">
        <f t="shared" si="4"/>
        <v>-2477119096</v>
      </c>
      <c r="I24" s="264">
        <f t="shared" si="4"/>
        <v>3765624199</v>
      </c>
      <c r="J24" s="264">
        <f t="shared" si="4"/>
        <v>10545194852</v>
      </c>
      <c r="K24" s="302">
        <v>10731847444</v>
      </c>
    </row>
    <row r="25" spans="1:11" s="219" customFormat="1" ht="25.5" customHeight="1">
      <c r="A25" s="264" t="s">
        <v>88</v>
      </c>
      <c r="B25" s="266">
        <v>51</v>
      </c>
      <c r="C25" s="266" t="s">
        <v>651</v>
      </c>
      <c r="D25" s="263">
        <v>626879968</v>
      </c>
      <c r="E25" s="263">
        <v>583320351</v>
      </c>
      <c r="F25" s="263">
        <v>509176814</v>
      </c>
      <c r="G25" s="302">
        <f>G24*25%</f>
        <v>725856923.25</v>
      </c>
      <c r="H25" s="264">
        <v>904499275</v>
      </c>
      <c r="I25" s="263">
        <v>941406050</v>
      </c>
      <c r="J25" s="264">
        <v>2737971442</v>
      </c>
      <c r="K25" s="263">
        <v>2854793243</v>
      </c>
    </row>
    <row r="26" spans="1:11" s="219" customFormat="1" ht="24.75" customHeight="1">
      <c r="A26" s="264" t="s">
        <v>89</v>
      </c>
      <c r="B26" s="266">
        <v>52</v>
      </c>
      <c r="C26" s="266"/>
      <c r="D26" s="407">
        <v>-41022727</v>
      </c>
      <c r="E26" s="263"/>
      <c r="F26" s="263"/>
      <c r="G26" s="302"/>
      <c r="H26" s="264"/>
      <c r="I26" s="263"/>
      <c r="J26" s="407">
        <f>D26</f>
        <v>-41022727</v>
      </c>
      <c r="K26" s="264"/>
    </row>
    <row r="27" spans="1:11" s="219" customFormat="1" ht="25.5" customHeight="1">
      <c r="A27" s="264" t="s">
        <v>90</v>
      </c>
      <c r="B27" s="266">
        <v>60</v>
      </c>
      <c r="C27" s="266"/>
      <c r="D27" s="263">
        <f>D24-D25-D26</f>
        <v>1514971719</v>
      </c>
      <c r="E27" s="263">
        <f t="shared" ref="E27:J27" si="5">E24-E25-E26</f>
        <v>1062635524</v>
      </c>
      <c r="F27" s="263">
        <f t="shared" si="5"/>
        <v>1527530440</v>
      </c>
      <c r="G27" s="263">
        <f t="shared" si="5"/>
        <v>2177570769.75</v>
      </c>
      <c r="H27" s="263">
        <f t="shared" si="5"/>
        <v>-3381618371</v>
      </c>
      <c r="I27" s="263">
        <f t="shared" si="5"/>
        <v>2824218149</v>
      </c>
      <c r="J27" s="263">
        <f t="shared" si="5"/>
        <v>7848246137</v>
      </c>
      <c r="K27" s="263">
        <v>7877054200.5</v>
      </c>
    </row>
    <row r="28" spans="1:11" s="219" customFormat="1" ht="25.5" customHeight="1">
      <c r="A28" s="264" t="s">
        <v>91</v>
      </c>
      <c r="B28" s="266">
        <v>70</v>
      </c>
      <c r="C28" s="266"/>
      <c r="D28" s="266">
        <f>D27/2758680</f>
        <v>549.16544108051676</v>
      </c>
      <c r="E28" s="266">
        <v>500</v>
      </c>
      <c r="F28" s="266">
        <f>F27/2758680</f>
        <v>553.71787956558933</v>
      </c>
      <c r="G28" s="304">
        <v>500</v>
      </c>
      <c r="H28" s="266">
        <f>H27/2758680</f>
        <v>-1225.8103045659518</v>
      </c>
      <c r="I28" s="266">
        <v>1647</v>
      </c>
      <c r="J28" s="266">
        <f>J27/2758680</f>
        <v>2844.9280587092376</v>
      </c>
      <c r="K28" s="266">
        <v>3665</v>
      </c>
    </row>
    <row r="29" spans="1:11" s="219" customFormat="1" ht="25.5" customHeight="1">
      <c r="A29" s="275" t="s">
        <v>92</v>
      </c>
      <c r="B29" s="276"/>
      <c r="C29" s="276"/>
      <c r="D29" s="276">
        <v>425</v>
      </c>
      <c r="E29" s="276">
        <v>385.19709571244221</v>
      </c>
      <c r="F29" s="276">
        <v>425</v>
      </c>
      <c r="G29" s="305">
        <v>903</v>
      </c>
      <c r="H29" s="276">
        <v>425</v>
      </c>
      <c r="I29" s="267">
        <v>500</v>
      </c>
      <c r="J29" s="276">
        <v>1700</v>
      </c>
      <c r="K29" s="276">
        <v>2000</v>
      </c>
    </row>
    <row r="30" spans="1:11" s="223" customFormat="1" ht="9.75" customHeight="1">
      <c r="A30" s="220"/>
      <c r="B30" s="221"/>
      <c r="C30" s="221"/>
      <c r="D30" s="221"/>
      <c r="E30" s="221"/>
      <c r="F30" s="222"/>
      <c r="G30" s="222"/>
      <c r="H30" s="220"/>
      <c r="I30" s="220"/>
      <c r="J30" s="220"/>
      <c r="K30" s="220"/>
    </row>
    <row r="31" spans="1:11" s="223" customFormat="1" ht="29.25" customHeight="1">
      <c r="A31" s="224"/>
      <c r="B31" s="225"/>
      <c r="C31" s="226"/>
      <c r="D31" s="226"/>
      <c r="E31" s="412" t="s">
        <v>626</v>
      </c>
      <c r="F31" s="412"/>
      <c r="G31" s="412"/>
      <c r="H31" s="412"/>
      <c r="I31" s="412"/>
      <c r="J31" s="412"/>
      <c r="K31" s="412"/>
    </row>
    <row r="32" spans="1:11" s="35" customFormat="1" ht="18.75" customHeight="1">
      <c r="A32" s="410" t="s">
        <v>534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</row>
    <row r="33" spans="1:11" s="35" customFormat="1" ht="15" customHeight="1">
      <c r="A33" s="257"/>
      <c r="B33" s="257"/>
      <c r="C33" s="257"/>
      <c r="D33" s="257"/>
      <c r="E33" s="257"/>
      <c r="F33" s="34"/>
      <c r="J33" s="417"/>
      <c r="K33" s="417"/>
    </row>
    <row r="34" spans="1:11" s="35" customFormat="1" ht="12.75" customHeight="1">
      <c r="A34" s="34"/>
      <c r="B34" s="258"/>
      <c r="C34" s="258"/>
      <c r="D34" s="8"/>
      <c r="F34" s="34"/>
    </row>
    <row r="35" spans="1:11" ht="15.75">
      <c r="A35" s="6"/>
      <c r="D35" s="2"/>
      <c r="E35" s="2"/>
      <c r="F35" s="2"/>
      <c r="G35" s="2"/>
    </row>
    <row r="36" spans="1:11" ht="15.75">
      <c r="A36" s="6"/>
      <c r="D36" s="2"/>
      <c r="E36" s="2"/>
      <c r="F36" s="2"/>
      <c r="G36" s="2"/>
    </row>
    <row r="37" spans="1:11" ht="15.75">
      <c r="A37" s="6"/>
      <c r="D37" s="2"/>
      <c r="E37" s="2"/>
      <c r="F37" s="2"/>
      <c r="G37" s="2"/>
    </row>
    <row r="38" spans="1:11" ht="13.5" customHeight="1">
      <c r="A38" s="6"/>
      <c r="D38" s="2"/>
      <c r="E38" s="2"/>
      <c r="F38" s="2"/>
      <c r="G38" s="2"/>
    </row>
    <row r="39" spans="1:11" ht="15.75">
      <c r="A39" s="409" t="s">
        <v>627</v>
      </c>
      <c r="B39" s="409"/>
      <c r="C39" s="409"/>
      <c r="D39" s="409"/>
      <c r="E39" s="409"/>
      <c r="F39" s="409"/>
      <c r="G39" s="409"/>
      <c r="H39" s="409"/>
      <c r="I39" s="409"/>
      <c r="J39" s="409"/>
      <c r="K39" s="409"/>
    </row>
    <row r="40" spans="1:11" ht="15.75">
      <c r="A40" s="133"/>
      <c r="E40" s="413"/>
      <c r="F40" s="413"/>
      <c r="G40" s="413"/>
      <c r="H40" s="413"/>
      <c r="I40" s="413"/>
      <c r="J40" s="413"/>
      <c r="K40" s="413"/>
    </row>
  </sheetData>
  <mergeCells count="16">
    <mergeCell ref="A39:K39"/>
    <mergeCell ref="A32:K32"/>
    <mergeCell ref="E31:K31"/>
    <mergeCell ref="E40:K40"/>
    <mergeCell ref="J2:K2"/>
    <mergeCell ref="A5:K5"/>
    <mergeCell ref="A6:K6"/>
    <mergeCell ref="J33:K33"/>
    <mergeCell ref="H8:I8"/>
    <mergeCell ref="J8:K8"/>
    <mergeCell ref="A8:A9"/>
    <mergeCell ref="B8:B9"/>
    <mergeCell ref="F8:G8"/>
    <mergeCell ref="J3:K3"/>
    <mergeCell ref="J4:K4"/>
    <mergeCell ref="D8:E8"/>
  </mergeCells>
  <phoneticPr fontId="14" type="noConversion"/>
  <pageMargins left="0.48" right="0.23" top="0.33" bottom="0.19" header="0.17" footer="0.18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2"/>
  <sheetViews>
    <sheetView topLeftCell="A358" workbookViewId="0">
      <selection activeCell="C358" sqref="C358"/>
    </sheetView>
  </sheetViews>
  <sheetFormatPr defaultColWidth="53.42578125" defaultRowHeight="21.75" customHeight="1"/>
  <cols>
    <col min="1" max="1" width="8.140625" style="2" customWidth="1"/>
    <col min="2" max="2" width="53.42578125" style="2" customWidth="1"/>
    <col min="3" max="3" width="21.28515625" style="2" customWidth="1"/>
    <col min="4" max="4" width="21.140625" style="2" customWidth="1"/>
    <col min="5" max="9" width="53.42578125" style="2" customWidth="1"/>
    <col min="10" max="10" width="53.42578125" style="6" customWidth="1"/>
    <col min="11" max="16384" width="53.42578125" style="2"/>
  </cols>
  <sheetData>
    <row r="1" spans="1:10" customFormat="1" ht="27.75" customHeight="1">
      <c r="A1" s="428" t="s">
        <v>630</v>
      </c>
      <c r="B1" s="428"/>
      <c r="C1" s="428"/>
      <c r="D1" s="428"/>
      <c r="E1" s="335" t="s">
        <v>631</v>
      </c>
      <c r="F1" s="134"/>
      <c r="J1" s="333"/>
    </row>
    <row r="2" spans="1:10" customFormat="1" ht="15" customHeight="1">
      <c r="A2" s="432" t="s">
        <v>671</v>
      </c>
      <c r="B2" s="432"/>
      <c r="C2" s="432"/>
      <c r="D2" s="432"/>
      <c r="E2" s="374" t="s">
        <v>669</v>
      </c>
      <c r="F2" s="138"/>
      <c r="J2" s="333"/>
    </row>
    <row r="3" spans="1:10" customFormat="1" ht="13.5" customHeight="1">
      <c r="A3" s="140" t="s">
        <v>406</v>
      </c>
      <c r="B3" s="375"/>
      <c r="C3" s="38"/>
      <c r="D3" s="139"/>
      <c r="E3" s="334" t="s">
        <v>670</v>
      </c>
      <c r="F3" s="139"/>
      <c r="J3" s="333"/>
    </row>
    <row r="4" spans="1:10" ht="10.5" customHeight="1">
      <c r="A4" s="129"/>
      <c r="B4" s="130"/>
      <c r="C4" s="7"/>
      <c r="D4" s="131"/>
      <c r="E4" s="7"/>
    </row>
    <row r="5" spans="1:10" ht="42.75" customHeight="1">
      <c r="A5" s="433" t="s">
        <v>211</v>
      </c>
      <c r="B5" s="433"/>
      <c r="C5" s="433"/>
      <c r="D5" s="433"/>
      <c r="E5" s="433"/>
    </row>
    <row r="6" spans="1:10" ht="22.5" customHeight="1">
      <c r="A6" s="413" t="s">
        <v>605</v>
      </c>
      <c r="B6" s="413"/>
      <c r="C6" s="413"/>
      <c r="D6" s="413"/>
      <c r="E6" s="413"/>
    </row>
    <row r="7" spans="1:10" ht="15.75" customHeight="1">
      <c r="C7" s="8"/>
      <c r="G7" s="25"/>
    </row>
    <row r="8" spans="1:10" ht="21.75" customHeight="1">
      <c r="A8" s="6" t="s">
        <v>212</v>
      </c>
      <c r="B8" s="6"/>
    </row>
    <row r="9" spans="1:10" ht="21.75" customHeight="1">
      <c r="A9" s="39" t="s">
        <v>421</v>
      </c>
      <c r="B9" s="39"/>
    </row>
    <row r="10" spans="1:10" ht="21.75" customHeight="1">
      <c r="A10" s="39" t="s">
        <v>213</v>
      </c>
      <c r="B10" s="39"/>
    </row>
    <row r="11" spans="1:10" ht="21.75" customHeight="1">
      <c r="A11" s="39" t="s">
        <v>214</v>
      </c>
      <c r="B11" s="39"/>
    </row>
    <row r="12" spans="1:10" ht="21.75" customHeight="1">
      <c r="A12" s="40" t="s">
        <v>215</v>
      </c>
      <c r="B12" s="39"/>
    </row>
    <row r="13" spans="1:10" ht="21.75" customHeight="1">
      <c r="A13" s="40" t="s">
        <v>410</v>
      </c>
      <c r="B13" s="39"/>
    </row>
    <row r="14" spans="1:10" ht="21.75" customHeight="1">
      <c r="A14" s="40" t="s">
        <v>411</v>
      </c>
      <c r="B14" s="39"/>
    </row>
    <row r="15" spans="1:10" ht="21.75" customHeight="1">
      <c r="A15" s="40" t="s">
        <v>402</v>
      </c>
      <c r="B15" s="40"/>
    </row>
    <row r="16" spans="1:10" ht="21.75" customHeight="1">
      <c r="A16" s="39" t="s">
        <v>216</v>
      </c>
      <c r="B16" s="40"/>
    </row>
    <row r="17" spans="1:2" ht="27" customHeight="1">
      <c r="A17" s="6" t="s">
        <v>217</v>
      </c>
      <c r="B17" s="6"/>
    </row>
    <row r="18" spans="1:2" ht="21.75" customHeight="1">
      <c r="A18" s="40" t="s">
        <v>492</v>
      </c>
      <c r="B18" s="40"/>
    </row>
    <row r="19" spans="1:2" ht="21.75" customHeight="1">
      <c r="A19" s="40" t="s">
        <v>218</v>
      </c>
      <c r="B19" s="40"/>
    </row>
    <row r="20" spans="1:2" ht="27.75" customHeight="1">
      <c r="A20" s="6" t="s">
        <v>219</v>
      </c>
      <c r="B20" s="6"/>
    </row>
    <row r="21" spans="1:2" ht="26.25" customHeight="1">
      <c r="A21" s="39" t="s">
        <v>549</v>
      </c>
      <c r="B21" s="40"/>
    </row>
    <row r="22" spans="1:2" ht="19.5" customHeight="1">
      <c r="A22" s="42" t="s">
        <v>550</v>
      </c>
      <c r="B22" s="40"/>
    </row>
    <row r="23" spans="1:2" ht="19.5" customHeight="1">
      <c r="A23" s="40" t="s">
        <v>551</v>
      </c>
      <c r="B23" s="40"/>
    </row>
    <row r="24" spans="1:2" ht="28.5" customHeight="1">
      <c r="A24" s="39" t="s">
        <v>220</v>
      </c>
      <c r="B24" s="40"/>
    </row>
    <row r="25" spans="1:2" ht="21.75" customHeight="1">
      <c r="A25" s="40" t="s">
        <v>221</v>
      </c>
      <c r="B25" s="40"/>
    </row>
    <row r="26" spans="1:2" ht="29.25" customHeight="1">
      <c r="A26" s="39" t="s">
        <v>222</v>
      </c>
      <c r="B26" s="40"/>
    </row>
    <row r="27" spans="1:2" ht="31.5" customHeight="1">
      <c r="A27" s="6" t="s">
        <v>223</v>
      </c>
      <c r="B27" s="6"/>
    </row>
    <row r="28" spans="1:2" ht="27" customHeight="1">
      <c r="A28" s="6" t="s">
        <v>224</v>
      </c>
      <c r="B28" s="6"/>
    </row>
    <row r="29" spans="1:2" ht="21.75" customHeight="1">
      <c r="A29" s="41" t="s">
        <v>225</v>
      </c>
      <c r="B29" s="41"/>
    </row>
    <row r="30" spans="1:2" ht="21.75" customHeight="1">
      <c r="A30" s="41" t="s">
        <v>226</v>
      </c>
      <c r="B30" s="41"/>
    </row>
    <row r="31" spans="1:2" ht="21" customHeight="1">
      <c r="A31" s="40" t="s">
        <v>227</v>
      </c>
      <c r="B31" s="40"/>
    </row>
    <row r="32" spans="1:2" ht="21" customHeight="1">
      <c r="A32" s="40" t="s">
        <v>228</v>
      </c>
      <c r="B32" s="40"/>
    </row>
    <row r="33" spans="1:4" ht="21" customHeight="1">
      <c r="A33" s="40" t="s">
        <v>632</v>
      </c>
      <c r="B33" s="40"/>
    </row>
    <row r="34" spans="1:4" ht="21" customHeight="1">
      <c r="A34" s="40"/>
      <c r="B34" s="40"/>
    </row>
    <row r="35" spans="1:4" ht="27.75" customHeight="1">
      <c r="A35" s="6" t="s">
        <v>229</v>
      </c>
      <c r="B35" s="6"/>
    </row>
    <row r="36" spans="1:4" ht="21" customHeight="1">
      <c r="A36" s="2" t="s">
        <v>230</v>
      </c>
      <c r="B36" s="42"/>
    </row>
    <row r="37" spans="1:4" ht="21" customHeight="1">
      <c r="A37" s="40" t="s">
        <v>2</v>
      </c>
      <c r="B37" s="42"/>
    </row>
    <row r="38" spans="1:4" ht="21" customHeight="1">
      <c r="A38" s="40" t="s">
        <v>3</v>
      </c>
      <c r="B38" s="42"/>
    </row>
    <row r="39" spans="1:4" ht="21.75" customHeight="1">
      <c r="A39" s="2" t="s">
        <v>231</v>
      </c>
      <c r="B39" s="42"/>
    </row>
    <row r="40" spans="1:4" ht="21.75" customHeight="1">
      <c r="A40" s="2" t="s">
        <v>232</v>
      </c>
      <c r="B40" s="42"/>
    </row>
    <row r="41" spans="1:4" ht="21.75" customHeight="1">
      <c r="A41" s="2" t="s">
        <v>233</v>
      </c>
      <c r="B41" s="42"/>
    </row>
    <row r="42" spans="1:4" ht="21.75" customHeight="1">
      <c r="A42" s="7" t="s">
        <v>234</v>
      </c>
      <c r="B42" s="43"/>
      <c r="C42" s="7"/>
      <c r="D42" s="7"/>
    </row>
    <row r="43" spans="1:4" ht="20.25" customHeight="1">
      <c r="A43" s="44" t="s">
        <v>235</v>
      </c>
      <c r="B43" s="43"/>
      <c r="C43" s="7"/>
      <c r="D43" s="7"/>
    </row>
    <row r="44" spans="1:4" ht="20.25" customHeight="1">
      <c r="A44" s="44" t="s">
        <v>236</v>
      </c>
      <c r="B44" s="43"/>
      <c r="C44" s="7"/>
      <c r="D44" s="7"/>
    </row>
    <row r="45" spans="1:4" ht="30.75" customHeight="1">
      <c r="A45" s="45" t="s">
        <v>237</v>
      </c>
      <c r="B45" s="45"/>
      <c r="C45" s="46"/>
      <c r="D45" s="46"/>
    </row>
    <row r="46" spans="1:4" ht="21.75" customHeight="1">
      <c r="A46" s="47" t="s">
        <v>238</v>
      </c>
      <c r="B46" s="48"/>
      <c r="C46" s="46"/>
      <c r="D46" s="46"/>
    </row>
    <row r="47" spans="1:4" ht="21.75" customHeight="1">
      <c r="A47" s="49" t="s">
        <v>239</v>
      </c>
      <c r="B47" s="48"/>
      <c r="C47" s="46"/>
      <c r="D47" s="46"/>
    </row>
    <row r="48" spans="1:4" ht="21.75" customHeight="1">
      <c r="A48" s="47" t="s">
        <v>240</v>
      </c>
      <c r="B48" s="48"/>
      <c r="C48" s="46"/>
      <c r="D48" s="46"/>
    </row>
    <row r="49" spans="1:8" ht="42.75" customHeight="1">
      <c r="A49" s="429" t="s">
        <v>633</v>
      </c>
      <c r="B49" s="429"/>
      <c r="C49" s="429"/>
      <c r="D49" s="429"/>
      <c r="E49" s="429"/>
    </row>
    <row r="50" spans="1:8" ht="20.25" customHeight="1">
      <c r="A50" s="49" t="s">
        <v>412</v>
      </c>
      <c r="B50" s="49"/>
      <c r="C50" s="46"/>
      <c r="D50" s="46"/>
    </row>
    <row r="51" spans="1:8" ht="21" customHeight="1">
      <c r="A51" s="49" t="s">
        <v>241</v>
      </c>
      <c r="B51" s="49"/>
      <c r="C51" s="46" t="s">
        <v>242</v>
      </c>
      <c r="D51" s="46"/>
    </row>
    <row r="52" spans="1:8" ht="21" customHeight="1">
      <c r="A52" s="49" t="s">
        <v>243</v>
      </c>
      <c r="B52" s="49"/>
      <c r="C52" s="46" t="s">
        <v>244</v>
      </c>
      <c r="D52" s="46"/>
    </row>
    <row r="53" spans="1:8" ht="21" customHeight="1">
      <c r="A53" s="49" t="s">
        <v>245</v>
      </c>
      <c r="B53" s="49"/>
      <c r="C53" s="46" t="s">
        <v>244</v>
      </c>
      <c r="D53" s="46"/>
    </row>
    <row r="54" spans="1:8" ht="21" customHeight="1">
      <c r="A54" s="49" t="s">
        <v>246</v>
      </c>
      <c r="B54" s="49"/>
      <c r="C54" s="46" t="s">
        <v>247</v>
      </c>
      <c r="D54" s="46"/>
    </row>
    <row r="55" spans="1:8" ht="21.75" customHeight="1">
      <c r="A55" s="45" t="s">
        <v>552</v>
      </c>
      <c r="B55" s="45"/>
      <c r="C55" s="46"/>
      <c r="D55" s="46"/>
      <c r="E55" s="46"/>
      <c r="F55" s="46"/>
      <c r="G55" s="46"/>
      <c r="H55" s="7"/>
    </row>
    <row r="56" spans="1:8" ht="21.75" customHeight="1">
      <c r="A56" s="47" t="s">
        <v>553</v>
      </c>
      <c r="B56" s="48"/>
      <c r="C56" s="46"/>
      <c r="D56" s="46"/>
      <c r="E56" s="46"/>
      <c r="F56" s="46"/>
      <c r="G56" s="46"/>
      <c r="H56" s="7"/>
    </row>
    <row r="57" spans="1:8" ht="21" customHeight="1">
      <c r="A57" s="40" t="s">
        <v>248</v>
      </c>
      <c r="B57" s="49"/>
      <c r="C57" s="46"/>
      <c r="D57" s="46"/>
      <c r="E57" s="46"/>
      <c r="F57" s="46"/>
      <c r="G57" s="46"/>
      <c r="H57" s="7"/>
    </row>
    <row r="58" spans="1:8" ht="21" customHeight="1">
      <c r="B58" s="50" t="s">
        <v>249</v>
      </c>
      <c r="C58" s="46"/>
      <c r="D58" s="46"/>
      <c r="E58" s="46"/>
      <c r="F58" s="46"/>
      <c r="G58" s="46"/>
      <c r="H58" s="7"/>
    </row>
    <row r="59" spans="1:8" ht="21" customHeight="1">
      <c r="B59" s="49" t="s">
        <v>250</v>
      </c>
      <c r="C59" s="46"/>
      <c r="D59" s="46"/>
      <c r="E59" s="46"/>
      <c r="F59" s="46"/>
      <c r="G59" s="46"/>
      <c r="H59" s="7"/>
    </row>
    <row r="60" spans="1:8" ht="21" customHeight="1">
      <c r="B60" s="50" t="s">
        <v>4</v>
      </c>
      <c r="C60" s="46"/>
      <c r="D60" s="46"/>
      <c r="E60" s="46"/>
      <c r="F60" s="46"/>
      <c r="G60" s="46"/>
      <c r="H60" s="7"/>
    </row>
    <row r="61" spans="1:8" ht="21" customHeight="1">
      <c r="B61" s="49" t="s">
        <v>5</v>
      </c>
      <c r="C61" s="46"/>
      <c r="D61" s="46"/>
      <c r="E61" s="46"/>
      <c r="F61" s="46"/>
      <c r="G61" s="46"/>
      <c r="H61" s="7"/>
    </row>
    <row r="62" spans="1:8" ht="21.75" customHeight="1">
      <c r="A62" s="47" t="s">
        <v>554</v>
      </c>
      <c r="B62" s="48"/>
      <c r="C62" s="46"/>
      <c r="D62" s="46"/>
      <c r="E62" s="46"/>
      <c r="F62" s="46"/>
      <c r="G62" s="46"/>
      <c r="H62" s="7"/>
    </row>
    <row r="63" spans="1:8" ht="21.75" customHeight="1">
      <c r="B63" s="49" t="s">
        <v>6</v>
      </c>
      <c r="C63" s="46"/>
      <c r="D63" s="46"/>
      <c r="E63" s="46"/>
      <c r="F63" s="46"/>
      <c r="G63" s="46"/>
      <c r="H63" s="7"/>
    </row>
    <row r="64" spans="1:8" ht="21.75" customHeight="1">
      <c r="B64" s="49" t="s">
        <v>7</v>
      </c>
      <c r="C64" s="46"/>
      <c r="D64" s="46"/>
      <c r="E64" s="46"/>
      <c r="F64" s="46"/>
      <c r="G64" s="46"/>
      <c r="H64" s="7"/>
    </row>
    <row r="65" spans="1:8" ht="21.75" customHeight="1">
      <c r="A65" s="39" t="s">
        <v>555</v>
      </c>
      <c r="E65" s="46"/>
      <c r="F65" s="46"/>
      <c r="G65" s="46"/>
      <c r="H65" s="7"/>
    </row>
    <row r="66" spans="1:8" ht="21.75" customHeight="1">
      <c r="A66" s="39" t="s">
        <v>556</v>
      </c>
      <c r="E66" s="46"/>
      <c r="F66" s="46"/>
      <c r="G66" s="46"/>
      <c r="H66" s="7"/>
    </row>
    <row r="67" spans="1:8" ht="21.75" customHeight="1">
      <c r="A67" s="47" t="s">
        <v>557</v>
      </c>
      <c r="B67" s="48"/>
      <c r="C67" s="46"/>
      <c r="D67" s="46"/>
      <c r="E67" s="46"/>
      <c r="F67" s="46"/>
      <c r="G67" s="46"/>
      <c r="H67" s="7"/>
    </row>
    <row r="68" spans="1:8" ht="21" customHeight="1">
      <c r="A68" s="48"/>
      <c r="B68" s="49" t="s">
        <v>440</v>
      </c>
      <c r="C68" s="46"/>
      <c r="D68" s="46"/>
      <c r="E68" s="46"/>
      <c r="F68" s="46"/>
      <c r="G68" s="46"/>
      <c r="H68" s="7"/>
    </row>
    <row r="69" spans="1:8" ht="21" customHeight="1">
      <c r="A69" s="48"/>
      <c r="B69" s="49" t="s">
        <v>441</v>
      </c>
      <c r="C69" s="46"/>
      <c r="D69" s="46"/>
      <c r="E69" s="46"/>
      <c r="F69" s="46"/>
      <c r="G69" s="46"/>
      <c r="H69" s="7"/>
    </row>
    <row r="70" spans="1:8" ht="21" customHeight="1">
      <c r="A70" s="48"/>
      <c r="B70" s="49" t="s">
        <v>8</v>
      </c>
      <c r="C70" s="46"/>
      <c r="D70" s="46"/>
      <c r="E70" s="46"/>
      <c r="F70" s="46"/>
      <c r="G70" s="46"/>
      <c r="H70" s="7"/>
    </row>
    <row r="71" spans="1:8" ht="21" customHeight="1">
      <c r="A71" s="48"/>
      <c r="B71" s="49" t="s">
        <v>9</v>
      </c>
      <c r="C71" s="46"/>
      <c r="D71" s="46"/>
      <c r="E71" s="46"/>
      <c r="F71" s="46"/>
      <c r="G71" s="46"/>
      <c r="H71" s="7"/>
    </row>
    <row r="72" spans="1:8" ht="21.75" customHeight="1">
      <c r="A72" s="47" t="s">
        <v>558</v>
      </c>
      <c r="B72" s="48"/>
      <c r="C72" s="46"/>
      <c r="D72" s="46"/>
      <c r="E72" s="46"/>
      <c r="F72" s="46"/>
      <c r="G72" s="46"/>
      <c r="H72" s="7"/>
    </row>
    <row r="73" spans="1:8" ht="20.25" customHeight="1">
      <c r="A73" s="47"/>
      <c r="B73" s="49" t="s">
        <v>251</v>
      </c>
      <c r="C73" s="46"/>
      <c r="D73" s="46"/>
      <c r="E73" s="46"/>
      <c r="F73" s="46"/>
      <c r="G73" s="46"/>
      <c r="H73" s="7"/>
    </row>
    <row r="74" spans="1:8" ht="20.25" customHeight="1">
      <c r="A74" s="47"/>
      <c r="B74" s="50" t="s">
        <v>10</v>
      </c>
      <c r="C74" s="46"/>
      <c r="D74" s="46"/>
      <c r="E74" s="46"/>
      <c r="F74" s="46"/>
      <c r="G74" s="46"/>
      <c r="H74" s="7"/>
    </row>
    <row r="75" spans="1:8" ht="20.25" customHeight="1">
      <c r="A75" s="47"/>
      <c r="B75" s="49" t="s">
        <v>11</v>
      </c>
      <c r="C75" s="46"/>
      <c r="D75" s="46"/>
      <c r="E75" s="46"/>
      <c r="F75" s="46"/>
      <c r="G75" s="46"/>
      <c r="H75" s="7"/>
    </row>
    <row r="76" spans="1:8" ht="20.25" customHeight="1">
      <c r="A76" s="47"/>
      <c r="B76" s="50" t="s">
        <v>12</v>
      </c>
      <c r="C76" s="46"/>
      <c r="D76" s="46"/>
      <c r="E76" s="46"/>
      <c r="F76" s="46"/>
      <c r="G76" s="46"/>
      <c r="H76" s="7"/>
    </row>
    <row r="77" spans="1:8" ht="20.25" customHeight="1">
      <c r="A77" s="47"/>
      <c r="B77" s="49" t="s">
        <v>13</v>
      </c>
      <c r="C77" s="46"/>
      <c r="D77" s="46"/>
      <c r="E77" s="46"/>
      <c r="F77" s="46"/>
      <c r="G77" s="46"/>
      <c r="H77" s="7"/>
    </row>
    <row r="78" spans="1:8" ht="20.25" customHeight="1">
      <c r="A78" s="47"/>
      <c r="B78" s="50" t="s">
        <v>14</v>
      </c>
      <c r="C78" s="46"/>
      <c r="D78" s="46"/>
      <c r="E78" s="46"/>
      <c r="F78" s="46"/>
      <c r="G78" s="46"/>
      <c r="H78" s="7"/>
    </row>
    <row r="79" spans="1:8" ht="20.25" customHeight="1">
      <c r="A79" s="47"/>
      <c r="B79" s="50" t="s">
        <v>15</v>
      </c>
      <c r="C79" s="46"/>
      <c r="D79" s="46"/>
      <c r="E79" s="46"/>
      <c r="F79" s="46"/>
      <c r="G79" s="46"/>
      <c r="H79" s="7"/>
    </row>
    <row r="80" spans="1:8" ht="21.75" customHeight="1">
      <c r="A80" s="47" t="s">
        <v>559</v>
      </c>
      <c r="B80" s="48"/>
      <c r="C80" s="46"/>
      <c r="D80" s="46"/>
      <c r="E80" s="46"/>
      <c r="F80" s="46"/>
      <c r="G80" s="46"/>
      <c r="H80" s="7"/>
    </row>
    <row r="81" spans="1:8" ht="21.75" customHeight="1">
      <c r="A81" s="48"/>
      <c r="B81" s="49" t="s">
        <v>252</v>
      </c>
      <c r="C81" s="46"/>
      <c r="D81" s="46"/>
      <c r="E81" s="46"/>
      <c r="F81" s="46"/>
      <c r="G81" s="46"/>
      <c r="H81" s="7"/>
    </row>
    <row r="82" spans="1:8" ht="21" customHeight="1">
      <c r="A82" s="48"/>
      <c r="B82" s="50" t="s">
        <v>16</v>
      </c>
      <c r="C82" s="46"/>
      <c r="D82" s="46"/>
      <c r="E82" s="46"/>
      <c r="F82" s="46"/>
      <c r="G82" s="46"/>
      <c r="H82" s="7"/>
    </row>
    <row r="83" spans="1:8" ht="21" customHeight="1">
      <c r="A83" s="48"/>
      <c r="B83" s="49" t="s">
        <v>17</v>
      </c>
      <c r="C83" s="46"/>
      <c r="D83" s="46"/>
      <c r="E83" s="46"/>
      <c r="F83" s="46"/>
      <c r="G83" s="46"/>
      <c r="H83" s="7"/>
    </row>
    <row r="84" spans="1:8" ht="21" customHeight="1">
      <c r="A84" s="48"/>
      <c r="B84" s="50" t="s">
        <v>446</v>
      </c>
      <c r="C84" s="46"/>
      <c r="D84" s="46"/>
      <c r="E84" s="46"/>
      <c r="F84" s="46"/>
      <c r="G84" s="46"/>
      <c r="H84" s="7"/>
    </row>
    <row r="85" spans="1:8" ht="21" customHeight="1">
      <c r="A85" s="48"/>
      <c r="B85" s="49" t="s">
        <v>13</v>
      </c>
      <c r="C85" s="46"/>
      <c r="D85" s="46"/>
      <c r="E85" s="46"/>
      <c r="F85" s="46"/>
      <c r="G85" s="46"/>
      <c r="H85" s="7"/>
    </row>
    <row r="86" spans="1:8" ht="21" customHeight="1">
      <c r="A86" s="48"/>
      <c r="B86" s="50" t="s">
        <v>18</v>
      </c>
      <c r="C86" s="46"/>
      <c r="D86" s="46"/>
      <c r="E86" s="46"/>
      <c r="F86" s="46"/>
      <c r="G86" s="46"/>
      <c r="H86" s="7"/>
    </row>
    <row r="87" spans="1:8" ht="21" customHeight="1">
      <c r="A87" s="48"/>
      <c r="B87" s="50" t="s">
        <v>19</v>
      </c>
      <c r="C87" s="46"/>
      <c r="D87" s="46"/>
      <c r="E87" s="46"/>
      <c r="F87" s="46"/>
      <c r="G87" s="46"/>
      <c r="H87" s="7"/>
    </row>
    <row r="88" spans="1:8" ht="21.75" customHeight="1">
      <c r="A88" s="47" t="s">
        <v>560</v>
      </c>
      <c r="B88" s="48"/>
      <c r="C88" s="46"/>
      <c r="D88" s="46"/>
      <c r="E88" s="46"/>
      <c r="F88" s="46"/>
      <c r="G88" s="46"/>
      <c r="H88" s="7"/>
    </row>
    <row r="89" spans="1:8" ht="23.25" customHeight="1">
      <c r="A89" s="47"/>
      <c r="B89" s="49" t="s">
        <v>20</v>
      </c>
      <c r="C89" s="46"/>
      <c r="D89" s="46"/>
      <c r="E89" s="46"/>
      <c r="F89" s="46"/>
      <c r="G89" s="46"/>
      <c r="H89" s="7"/>
    </row>
    <row r="90" spans="1:8" ht="23.25" customHeight="1">
      <c r="A90" s="47"/>
      <c r="B90" s="49" t="s">
        <v>21</v>
      </c>
      <c r="C90" s="46"/>
      <c r="D90" s="46"/>
      <c r="E90" s="46"/>
      <c r="F90" s="46"/>
      <c r="G90" s="46"/>
      <c r="H90" s="7"/>
    </row>
    <row r="91" spans="1:8" ht="23.25" customHeight="1">
      <c r="A91" s="47"/>
      <c r="B91" s="49" t="s">
        <v>22</v>
      </c>
      <c r="C91" s="46"/>
      <c r="D91" s="46"/>
      <c r="E91" s="46"/>
      <c r="F91" s="46"/>
      <c r="G91" s="46"/>
      <c r="H91" s="7"/>
    </row>
    <row r="92" spans="1:8" ht="21.75" customHeight="1">
      <c r="A92" s="47" t="s">
        <v>561</v>
      </c>
      <c r="B92" s="48"/>
      <c r="C92" s="46"/>
      <c r="D92" s="46"/>
      <c r="E92" s="46"/>
      <c r="F92" s="46"/>
      <c r="G92" s="46"/>
      <c r="H92" s="7"/>
    </row>
    <row r="93" spans="1:8" ht="22.5" customHeight="1">
      <c r="A93" s="47"/>
      <c r="B93" s="49" t="s">
        <v>23</v>
      </c>
      <c r="C93" s="46"/>
      <c r="D93" s="46"/>
      <c r="E93" s="46"/>
      <c r="F93" s="46"/>
      <c r="G93" s="46"/>
      <c r="H93" s="7"/>
    </row>
    <row r="94" spans="1:8" ht="22.5" customHeight="1">
      <c r="A94" s="47"/>
      <c r="B94" s="49" t="s">
        <v>24</v>
      </c>
      <c r="C94" s="46"/>
      <c r="D94" s="46"/>
      <c r="E94" s="46"/>
      <c r="F94" s="46"/>
      <c r="G94" s="46"/>
      <c r="H94" s="7"/>
    </row>
    <row r="95" spans="1:8" ht="26.25" customHeight="1">
      <c r="A95" s="45" t="s">
        <v>562</v>
      </c>
      <c r="B95" s="45"/>
      <c r="C95" s="46"/>
      <c r="D95" s="46"/>
      <c r="E95" s="46"/>
      <c r="F95" s="46"/>
      <c r="G95" s="46"/>
      <c r="H95" s="7"/>
    </row>
    <row r="96" spans="1:8" ht="21.75" customHeight="1">
      <c r="A96" s="47" t="s">
        <v>563</v>
      </c>
      <c r="B96" s="48"/>
      <c r="C96" s="46"/>
      <c r="D96" s="46"/>
      <c r="E96" s="46"/>
      <c r="F96" s="46"/>
      <c r="G96" s="46"/>
      <c r="H96" s="7"/>
    </row>
    <row r="97" spans="1:8" ht="24" customHeight="1">
      <c r="A97" s="47"/>
      <c r="B97" s="49" t="s">
        <v>442</v>
      </c>
      <c r="C97" s="46"/>
      <c r="D97" s="46"/>
      <c r="E97" s="46"/>
      <c r="F97" s="46"/>
      <c r="G97" s="46"/>
      <c r="H97" s="7"/>
    </row>
    <row r="98" spans="1:8" ht="24" customHeight="1">
      <c r="A98" s="47"/>
      <c r="B98" s="49" t="s">
        <v>543</v>
      </c>
      <c r="C98" s="46"/>
      <c r="D98" s="46"/>
      <c r="E98" s="46"/>
      <c r="F98" s="46"/>
      <c r="G98" s="46"/>
      <c r="H98" s="7"/>
    </row>
    <row r="99" spans="1:8" ht="24" customHeight="1">
      <c r="A99" s="47"/>
      <c r="B99" s="49" t="s">
        <v>544</v>
      </c>
      <c r="C99" s="46"/>
      <c r="D99" s="46"/>
      <c r="E99" s="46"/>
      <c r="F99" s="46"/>
      <c r="G99" s="46"/>
      <c r="H99" s="7"/>
    </row>
    <row r="100" spans="1:8" ht="24" customHeight="1">
      <c r="A100" s="47"/>
      <c r="B100" s="49" t="s">
        <v>253</v>
      </c>
      <c r="C100" s="46"/>
      <c r="D100" s="46"/>
      <c r="E100" s="46"/>
      <c r="F100" s="46"/>
      <c r="G100" s="46"/>
      <c r="H100" s="7"/>
    </row>
    <row r="101" spans="1:8" ht="24" customHeight="1">
      <c r="A101" s="47"/>
      <c r="B101" s="49" t="s">
        <v>254</v>
      </c>
      <c r="C101" s="46"/>
      <c r="D101" s="46"/>
      <c r="E101" s="46"/>
      <c r="F101" s="46"/>
      <c r="G101" s="46"/>
      <c r="H101" s="7"/>
    </row>
    <row r="102" spans="1:8" ht="24" customHeight="1">
      <c r="A102" s="47"/>
      <c r="B102" s="49" t="s">
        <v>255</v>
      </c>
      <c r="C102" s="46"/>
      <c r="D102" s="46"/>
      <c r="E102" s="46"/>
      <c r="F102" s="46"/>
      <c r="G102" s="46"/>
      <c r="H102" s="7"/>
    </row>
    <row r="103" spans="1:8" ht="24" customHeight="1">
      <c r="A103" s="47"/>
      <c r="B103" s="49" t="s">
        <v>256</v>
      </c>
      <c r="C103" s="46"/>
      <c r="D103" s="46"/>
      <c r="E103" s="46"/>
      <c r="F103" s="46"/>
      <c r="G103" s="46"/>
      <c r="H103" s="7"/>
    </row>
    <row r="104" spans="1:8" ht="24" customHeight="1">
      <c r="A104" s="47"/>
      <c r="B104" s="49" t="s">
        <v>257</v>
      </c>
      <c r="C104" s="46"/>
      <c r="D104" s="46"/>
      <c r="E104" s="46"/>
      <c r="F104" s="46"/>
      <c r="G104" s="46"/>
      <c r="H104" s="7"/>
    </row>
    <row r="105" spans="1:8" ht="21.75" customHeight="1">
      <c r="A105" s="47" t="s">
        <v>564</v>
      </c>
      <c r="B105" s="48"/>
      <c r="C105" s="46"/>
      <c r="D105" s="46"/>
      <c r="E105" s="46"/>
      <c r="F105" s="46"/>
      <c r="G105" s="46"/>
      <c r="H105" s="7"/>
    </row>
    <row r="106" spans="1:8" ht="21.75" customHeight="1">
      <c r="A106" s="47"/>
      <c r="B106" s="49" t="s">
        <v>25</v>
      </c>
      <c r="C106" s="46"/>
      <c r="D106" s="46"/>
      <c r="E106" s="46"/>
      <c r="F106" s="46"/>
      <c r="G106" s="46"/>
      <c r="H106" s="7"/>
    </row>
    <row r="107" spans="1:8" ht="21.75" customHeight="1">
      <c r="A107" s="47"/>
      <c r="B107" s="49" t="s">
        <v>26</v>
      </c>
      <c r="C107" s="46"/>
      <c r="D107" s="46"/>
      <c r="E107" s="46"/>
      <c r="F107" s="46"/>
      <c r="G107" s="46"/>
      <c r="H107" s="7"/>
    </row>
    <row r="108" spans="1:8" ht="25.5" customHeight="1">
      <c r="A108" s="45" t="s">
        <v>565</v>
      </c>
      <c r="B108" s="48"/>
      <c r="C108" s="46"/>
      <c r="D108" s="46"/>
      <c r="E108" s="46"/>
      <c r="F108" s="46"/>
      <c r="G108" s="46"/>
      <c r="H108" s="7"/>
    </row>
    <row r="109" spans="1:8" ht="21.75" customHeight="1">
      <c r="A109" s="49" t="s">
        <v>566</v>
      </c>
      <c r="C109" s="46"/>
      <c r="D109" s="46"/>
      <c r="E109" s="46"/>
      <c r="F109" s="46"/>
      <c r="G109" s="46"/>
      <c r="H109" s="7"/>
    </row>
    <row r="110" spans="1:8" ht="23.25" customHeight="1">
      <c r="B110" s="49" t="s">
        <v>429</v>
      </c>
      <c r="C110" s="46"/>
      <c r="D110" s="46"/>
      <c r="E110" s="46"/>
      <c r="F110" s="46"/>
      <c r="G110" s="46"/>
      <c r="H110" s="7"/>
    </row>
    <row r="111" spans="1:8" ht="23.25" customHeight="1">
      <c r="B111" s="49" t="s">
        <v>428</v>
      </c>
      <c r="C111" s="46"/>
      <c r="D111" s="46"/>
      <c r="E111" s="46"/>
      <c r="F111" s="46"/>
      <c r="G111" s="46"/>
      <c r="H111" s="7"/>
    </row>
    <row r="112" spans="1:8" ht="21.75" customHeight="1">
      <c r="A112" s="49" t="s">
        <v>567</v>
      </c>
      <c r="C112" s="46"/>
      <c r="D112" s="46"/>
      <c r="E112" s="46"/>
      <c r="F112" s="46"/>
      <c r="G112" s="46"/>
      <c r="H112" s="7"/>
    </row>
    <row r="113" spans="1:8" ht="23.25" customHeight="1">
      <c r="B113" s="49" t="s">
        <v>427</v>
      </c>
      <c r="C113" s="46"/>
      <c r="D113" s="46"/>
      <c r="E113" s="46"/>
      <c r="F113" s="46"/>
      <c r="G113" s="46"/>
      <c r="H113" s="7"/>
    </row>
    <row r="114" spans="1:8" ht="23.25" customHeight="1">
      <c r="B114" s="49" t="s">
        <v>428</v>
      </c>
      <c r="C114" s="46"/>
      <c r="D114" s="46"/>
      <c r="E114" s="46"/>
      <c r="F114" s="46"/>
      <c r="G114" s="46"/>
      <c r="H114" s="7"/>
    </row>
    <row r="115" spans="1:8" ht="21.75" customHeight="1">
      <c r="A115" s="49" t="s">
        <v>568</v>
      </c>
      <c r="B115" s="48"/>
      <c r="C115" s="46"/>
      <c r="D115" s="46"/>
      <c r="E115" s="46"/>
      <c r="F115" s="46"/>
      <c r="G115" s="46"/>
      <c r="H115" s="7"/>
    </row>
    <row r="116" spans="1:8" ht="23.25" customHeight="1">
      <c r="A116" s="48"/>
      <c r="B116" s="49" t="s">
        <v>27</v>
      </c>
      <c r="C116" s="46"/>
      <c r="D116" s="46"/>
      <c r="E116" s="46"/>
      <c r="F116" s="46"/>
      <c r="G116" s="46"/>
      <c r="H116" s="7"/>
    </row>
    <row r="117" spans="1:8" ht="23.25" customHeight="1">
      <c r="A117" s="48"/>
      <c r="B117" s="49" t="s">
        <v>28</v>
      </c>
      <c r="C117" s="46"/>
      <c r="D117" s="46"/>
      <c r="E117" s="46"/>
      <c r="F117" s="46"/>
      <c r="G117" s="46"/>
      <c r="H117" s="7"/>
    </row>
    <row r="118" spans="1:8" ht="23.25" customHeight="1">
      <c r="A118" s="48"/>
      <c r="B118" s="49" t="s">
        <v>258</v>
      </c>
      <c r="C118" s="46"/>
      <c r="D118" s="46"/>
      <c r="E118" s="46"/>
      <c r="F118" s="46"/>
      <c r="G118" s="46"/>
      <c r="H118" s="7"/>
    </row>
    <row r="119" spans="1:8" ht="23.25" customHeight="1">
      <c r="A119" s="48"/>
      <c r="B119" s="49" t="s">
        <v>634</v>
      </c>
      <c r="C119" s="46"/>
      <c r="D119" s="46"/>
      <c r="E119" s="46"/>
      <c r="F119" s="46"/>
      <c r="G119" s="46"/>
      <c r="H119" s="7"/>
    </row>
    <row r="120" spans="1:8" ht="27" customHeight="1">
      <c r="A120" s="45" t="s">
        <v>569</v>
      </c>
      <c r="B120" s="45"/>
      <c r="C120" s="46"/>
      <c r="D120" s="46"/>
      <c r="E120" s="46"/>
      <c r="F120" s="46"/>
      <c r="G120" s="46"/>
      <c r="H120" s="7"/>
    </row>
    <row r="121" spans="1:8" ht="23.25" customHeight="1">
      <c r="B121" s="50" t="s">
        <v>546</v>
      </c>
      <c r="E121" s="46"/>
      <c r="F121" s="46"/>
      <c r="G121" s="46"/>
      <c r="H121" s="7"/>
    </row>
    <row r="122" spans="1:8" ht="23.25" customHeight="1">
      <c r="B122" s="49" t="s">
        <v>545</v>
      </c>
      <c r="E122" s="46"/>
      <c r="F122" s="46"/>
      <c r="G122" s="46"/>
      <c r="H122" s="7"/>
    </row>
    <row r="123" spans="1:8" ht="23.25" customHeight="1">
      <c r="B123" s="50" t="s">
        <v>548</v>
      </c>
      <c r="E123" s="46"/>
      <c r="F123" s="46"/>
      <c r="G123" s="46"/>
      <c r="H123" s="7"/>
    </row>
    <row r="124" spans="1:8" ht="23.25" customHeight="1">
      <c r="B124" s="49" t="s">
        <v>547</v>
      </c>
      <c r="E124" s="46"/>
      <c r="F124" s="46"/>
      <c r="G124" s="46"/>
      <c r="H124" s="7"/>
    </row>
    <row r="125" spans="1:8" ht="23.25" customHeight="1">
      <c r="B125" s="49" t="s">
        <v>259</v>
      </c>
      <c r="E125" s="46"/>
      <c r="F125" s="46"/>
      <c r="G125" s="46"/>
      <c r="H125" s="7"/>
    </row>
    <row r="126" spans="1:8" ht="23.25" customHeight="1">
      <c r="B126" s="49" t="s">
        <v>260</v>
      </c>
      <c r="E126" s="46"/>
      <c r="F126" s="46"/>
      <c r="G126" s="46"/>
      <c r="H126" s="7"/>
    </row>
    <row r="127" spans="1:8" ht="26.25" customHeight="1">
      <c r="A127" s="39" t="s">
        <v>570</v>
      </c>
      <c r="E127" s="46"/>
      <c r="F127" s="46"/>
      <c r="G127" s="46"/>
      <c r="H127" s="7"/>
    </row>
    <row r="128" spans="1:8" ht="21.75" customHeight="1">
      <c r="A128" s="2" t="s">
        <v>571</v>
      </c>
      <c r="E128" s="46"/>
      <c r="F128" s="46"/>
      <c r="G128" s="46"/>
      <c r="H128" s="7"/>
    </row>
    <row r="129" spans="1:8" ht="23.25" customHeight="1">
      <c r="B129" s="40" t="s">
        <v>29</v>
      </c>
      <c r="E129" s="46"/>
      <c r="F129" s="46"/>
      <c r="G129" s="46"/>
      <c r="H129" s="7"/>
    </row>
    <row r="130" spans="1:8" ht="23.25" customHeight="1">
      <c r="B130" s="40" t="s">
        <v>30</v>
      </c>
      <c r="E130" s="46"/>
      <c r="F130" s="46"/>
      <c r="G130" s="46"/>
      <c r="H130" s="7"/>
    </row>
    <row r="131" spans="1:8" ht="23.25" customHeight="1">
      <c r="B131" s="40" t="s">
        <v>31</v>
      </c>
      <c r="E131" s="46"/>
      <c r="F131" s="46"/>
      <c r="G131" s="46"/>
      <c r="H131" s="7"/>
    </row>
    <row r="132" spans="1:8" ht="23.25" customHeight="1">
      <c r="B132" s="40" t="s">
        <v>32</v>
      </c>
      <c r="E132" s="46"/>
      <c r="F132" s="46"/>
      <c r="G132" s="46"/>
      <c r="H132" s="7"/>
    </row>
    <row r="133" spans="1:8" ht="21.75" customHeight="1">
      <c r="A133" s="2" t="s">
        <v>572</v>
      </c>
      <c r="E133" s="46"/>
      <c r="F133" s="46"/>
      <c r="G133" s="46"/>
      <c r="H133" s="7"/>
    </row>
    <row r="134" spans="1:8" ht="24.75" customHeight="1">
      <c r="B134" s="40" t="s">
        <v>33</v>
      </c>
      <c r="E134" s="46"/>
      <c r="F134" s="46"/>
      <c r="G134" s="46"/>
      <c r="H134" s="7"/>
    </row>
    <row r="135" spans="1:8" ht="24.75" customHeight="1">
      <c r="B135" s="40" t="s">
        <v>34</v>
      </c>
      <c r="E135" s="46"/>
      <c r="F135" s="46"/>
      <c r="G135" s="46"/>
      <c r="H135" s="7"/>
    </row>
    <row r="136" spans="1:8" ht="27.75" customHeight="1">
      <c r="A136" s="39" t="s">
        <v>573</v>
      </c>
      <c r="E136" s="46"/>
      <c r="F136" s="46"/>
      <c r="G136" s="46"/>
      <c r="H136" s="7"/>
    </row>
    <row r="137" spans="1:8" ht="23.25" customHeight="1">
      <c r="B137" s="40" t="s">
        <v>582</v>
      </c>
      <c r="E137" s="46"/>
      <c r="F137" s="46"/>
      <c r="G137" s="46"/>
      <c r="H137" s="7"/>
    </row>
    <row r="138" spans="1:8" ht="30.75" customHeight="1">
      <c r="A138" s="45" t="s">
        <v>574</v>
      </c>
      <c r="B138" s="47"/>
      <c r="C138" s="46"/>
      <c r="D138" s="46"/>
      <c r="E138" s="46"/>
      <c r="F138" s="46"/>
      <c r="G138" s="46"/>
      <c r="H138" s="7"/>
    </row>
    <row r="139" spans="1:8" ht="23.25" customHeight="1">
      <c r="A139" s="47" t="s">
        <v>575</v>
      </c>
      <c r="B139" s="49"/>
      <c r="C139" s="46"/>
      <c r="D139" s="46"/>
      <c r="E139" s="46"/>
      <c r="F139" s="46"/>
      <c r="G139" s="46"/>
      <c r="H139" s="7"/>
    </row>
    <row r="140" spans="1:8" ht="23.25" customHeight="1">
      <c r="A140" s="49"/>
      <c r="B140" s="50" t="s">
        <v>35</v>
      </c>
      <c r="C140" s="46"/>
      <c r="D140" s="46"/>
      <c r="E140" s="46"/>
      <c r="F140" s="46"/>
      <c r="G140" s="46"/>
      <c r="H140" s="7"/>
    </row>
    <row r="141" spans="1:8" ht="23.25" customHeight="1">
      <c r="A141" s="45"/>
      <c r="B141" s="49" t="s">
        <v>36</v>
      </c>
      <c r="C141" s="46"/>
      <c r="D141" s="46"/>
      <c r="E141" s="46"/>
      <c r="F141" s="46"/>
      <c r="G141" s="46"/>
      <c r="H141" s="7"/>
    </row>
    <row r="142" spans="1:8" ht="23.25" customHeight="1">
      <c r="A142" s="45"/>
      <c r="B142" s="50" t="s">
        <v>37</v>
      </c>
      <c r="C142" s="46"/>
      <c r="D142" s="46"/>
      <c r="E142" s="46"/>
      <c r="F142" s="46"/>
      <c r="G142" s="46"/>
      <c r="H142" s="7"/>
    </row>
    <row r="143" spans="1:8" ht="23.25" customHeight="1">
      <c r="A143" s="45"/>
      <c r="B143" s="49" t="s">
        <v>38</v>
      </c>
      <c r="C143" s="46"/>
      <c r="D143" s="46"/>
      <c r="E143" s="46"/>
      <c r="F143" s="46"/>
      <c r="G143" s="46"/>
      <c r="H143" s="7"/>
    </row>
    <row r="144" spans="1:8" ht="23.25" customHeight="1">
      <c r="A144" s="45"/>
      <c r="B144" s="50" t="s">
        <v>261</v>
      </c>
      <c r="C144" s="46"/>
      <c r="D144" s="46"/>
      <c r="E144" s="46"/>
      <c r="F144" s="46"/>
      <c r="G144" s="46"/>
      <c r="H144" s="7"/>
    </row>
    <row r="145" spans="1:10" ht="23.25" customHeight="1">
      <c r="A145" s="45"/>
      <c r="B145" s="50" t="s">
        <v>262</v>
      </c>
      <c r="C145" s="46"/>
      <c r="D145" s="46"/>
      <c r="E145" s="46"/>
      <c r="F145" s="46"/>
      <c r="G145" s="46"/>
      <c r="H145" s="7"/>
    </row>
    <row r="146" spans="1:10" ht="23.25" customHeight="1">
      <c r="A146" s="48"/>
      <c r="B146" s="50" t="s">
        <v>263</v>
      </c>
      <c r="C146" s="46"/>
      <c r="D146" s="46"/>
      <c r="E146" s="46"/>
      <c r="F146" s="46"/>
      <c r="G146" s="46"/>
      <c r="H146" s="7"/>
    </row>
    <row r="147" spans="1:10" ht="23.25" customHeight="1">
      <c r="A147" s="47" t="s">
        <v>576</v>
      </c>
      <c r="B147" s="50"/>
      <c r="C147" s="46"/>
      <c r="D147" s="46"/>
      <c r="E147" s="46"/>
      <c r="F147" s="46"/>
      <c r="G147" s="46"/>
      <c r="H147" s="7"/>
    </row>
    <row r="148" spans="1:10" ht="23.25" customHeight="1">
      <c r="A148" s="48"/>
      <c r="B148" s="49" t="s">
        <v>39</v>
      </c>
      <c r="C148" s="46"/>
      <c r="D148" s="46"/>
      <c r="E148" s="46"/>
      <c r="F148" s="46"/>
      <c r="G148" s="46"/>
      <c r="H148" s="7"/>
    </row>
    <row r="149" spans="1:10" ht="23.25" customHeight="1">
      <c r="A149" s="48"/>
      <c r="B149" s="49" t="s">
        <v>40</v>
      </c>
      <c r="C149" s="46"/>
      <c r="D149" s="46"/>
      <c r="E149" s="46"/>
      <c r="F149" s="46"/>
      <c r="G149" s="46"/>
      <c r="H149" s="7"/>
    </row>
    <row r="150" spans="1:10" ht="23.25" customHeight="1">
      <c r="A150" s="48"/>
      <c r="B150" s="50" t="s">
        <v>264</v>
      </c>
      <c r="C150" s="46"/>
      <c r="D150" s="46"/>
      <c r="E150" s="46"/>
      <c r="F150" s="46"/>
      <c r="G150" s="46"/>
      <c r="H150" s="7"/>
    </row>
    <row r="151" spans="1:10" ht="23.25" customHeight="1">
      <c r="A151" s="48"/>
      <c r="B151" s="50" t="s">
        <v>261</v>
      </c>
      <c r="C151" s="46"/>
      <c r="D151" s="46"/>
      <c r="E151" s="46"/>
      <c r="F151" s="46"/>
      <c r="G151" s="46"/>
      <c r="H151" s="7"/>
    </row>
    <row r="152" spans="1:10" ht="23.25" customHeight="1">
      <c r="A152" s="48"/>
      <c r="B152" s="49" t="s">
        <v>443</v>
      </c>
      <c r="C152" s="46"/>
      <c r="D152" s="46"/>
      <c r="E152" s="46"/>
      <c r="F152" s="46"/>
      <c r="G152" s="46"/>
      <c r="H152" s="7"/>
    </row>
    <row r="153" spans="1:10" ht="24" customHeight="1">
      <c r="A153" s="45" t="s">
        <v>577</v>
      </c>
      <c r="B153" s="49"/>
      <c r="C153" s="46"/>
      <c r="D153" s="46"/>
      <c r="E153" s="46"/>
      <c r="F153" s="46"/>
      <c r="G153" s="46"/>
      <c r="H153" s="7"/>
    </row>
    <row r="154" spans="1:10" s="40" customFormat="1" ht="25.5" customHeight="1">
      <c r="A154" s="45" t="s">
        <v>578</v>
      </c>
      <c r="B154" s="49"/>
      <c r="C154" s="46"/>
      <c r="D154" s="46"/>
      <c r="E154" s="46"/>
      <c r="F154" s="46"/>
      <c r="G154" s="46"/>
      <c r="H154" s="44"/>
      <c r="J154" s="39"/>
    </row>
    <row r="155" spans="1:10" s="40" customFormat="1" ht="21.75" customHeight="1">
      <c r="A155" s="45" t="s">
        <v>265</v>
      </c>
      <c r="B155" s="49"/>
      <c r="C155" s="46"/>
      <c r="D155" s="46"/>
      <c r="E155" s="46"/>
      <c r="F155" s="46"/>
      <c r="G155" s="46"/>
      <c r="H155" s="44"/>
      <c r="J155" s="39"/>
    </row>
    <row r="156" spans="1:10" s="40" customFormat="1" ht="24" customHeight="1">
      <c r="A156" s="45" t="s">
        <v>579</v>
      </c>
      <c r="B156" s="49"/>
      <c r="C156" s="46"/>
      <c r="D156" s="46"/>
      <c r="E156" s="46"/>
      <c r="F156" s="46"/>
      <c r="G156" s="46"/>
      <c r="H156" s="44"/>
      <c r="J156" s="39"/>
    </row>
    <row r="157" spans="1:10" s="40" customFormat="1" ht="27" customHeight="1">
      <c r="A157" s="45" t="s">
        <v>580</v>
      </c>
      <c r="B157" s="49"/>
      <c r="C157" s="46"/>
      <c r="D157" s="46"/>
      <c r="E157" s="46"/>
      <c r="F157" s="46"/>
      <c r="G157" s="46"/>
      <c r="H157" s="44"/>
      <c r="J157" s="39"/>
    </row>
    <row r="158" spans="1:10" ht="10.5" customHeight="1">
      <c r="A158" s="51"/>
      <c r="B158" s="49"/>
      <c r="C158" s="46"/>
      <c r="D158" s="46"/>
      <c r="E158" s="46"/>
      <c r="F158" s="46"/>
      <c r="G158" s="46"/>
      <c r="H158" s="7"/>
    </row>
    <row r="159" spans="1:10" ht="20.25" customHeight="1">
      <c r="A159" s="6" t="s">
        <v>266</v>
      </c>
      <c r="B159" s="6"/>
    </row>
    <row r="160" spans="1:10" ht="15" customHeight="1">
      <c r="A160" s="6"/>
      <c r="B160" s="6"/>
    </row>
    <row r="161" spans="1:5" ht="27" customHeight="1">
      <c r="A161" s="52" t="s">
        <v>267</v>
      </c>
      <c r="B161" s="52"/>
      <c r="C161" s="16" t="s">
        <v>165</v>
      </c>
      <c r="D161" s="16" t="s">
        <v>99</v>
      </c>
      <c r="E161" s="1"/>
    </row>
    <row r="162" spans="1:5" ht="24.75" customHeight="1">
      <c r="A162" s="53"/>
      <c r="B162" s="54" t="s">
        <v>268</v>
      </c>
      <c r="C162" s="10">
        <v>19958368</v>
      </c>
      <c r="D162" s="10">
        <v>92220229</v>
      </c>
    </row>
    <row r="163" spans="1:5" ht="23.25" customHeight="1">
      <c r="A163" s="55"/>
      <c r="B163" s="56" t="s">
        <v>269</v>
      </c>
      <c r="C163" s="11">
        <v>10938282084</v>
      </c>
      <c r="D163" s="11">
        <v>6385926844</v>
      </c>
    </row>
    <row r="164" spans="1:5" ht="23.25" customHeight="1">
      <c r="A164" s="55"/>
      <c r="B164" s="56" t="s">
        <v>403</v>
      </c>
      <c r="C164" s="11">
        <f>C165+C166</f>
        <v>5000000000</v>
      </c>
      <c r="D164" s="11">
        <f>D165+D166</f>
        <v>5000000000</v>
      </c>
    </row>
    <row r="165" spans="1:5" ht="23.25" customHeight="1">
      <c r="A165" s="55"/>
      <c r="B165" s="13" t="s">
        <v>41</v>
      </c>
      <c r="C165" s="13">
        <v>0</v>
      </c>
      <c r="D165" s="13">
        <v>0</v>
      </c>
    </row>
    <row r="166" spans="1:5" ht="23.25" customHeight="1">
      <c r="A166" s="55"/>
      <c r="B166" s="13" t="s">
        <v>42</v>
      </c>
      <c r="C166" s="13">
        <v>5000000000</v>
      </c>
      <c r="D166" s="13">
        <v>5000000000</v>
      </c>
    </row>
    <row r="167" spans="1:5" ht="23.25" customHeight="1">
      <c r="A167" s="55"/>
      <c r="B167" s="56" t="s">
        <v>270</v>
      </c>
      <c r="C167" s="11">
        <v>0</v>
      </c>
      <c r="D167" s="11">
        <v>0</v>
      </c>
    </row>
    <row r="168" spans="1:5" ht="22.5" customHeight="1">
      <c r="A168" s="57"/>
      <c r="B168" s="58" t="s">
        <v>271</v>
      </c>
      <c r="C168" s="59">
        <f>SUM(C162:C164)</f>
        <v>15958240452</v>
      </c>
      <c r="D168" s="60">
        <f>SUM(D162:D164)</f>
        <v>11478147073</v>
      </c>
    </row>
    <row r="169" spans="1:5" ht="11.25" customHeight="1">
      <c r="A169" s="61"/>
      <c r="B169" s="23"/>
      <c r="C169" s="24"/>
      <c r="D169" s="24"/>
    </row>
    <row r="170" spans="1:5" ht="21.75" customHeight="1">
      <c r="A170" s="62" t="s">
        <v>542</v>
      </c>
      <c r="B170" s="16"/>
      <c r="C170" s="16" t="str">
        <f>C161</f>
        <v>Sè cuèi kú</v>
      </c>
      <c r="D170" s="16" t="str">
        <f>D161</f>
        <v>Sè ®Çu n¨m</v>
      </c>
    </row>
    <row r="171" spans="1:5" ht="21.75" customHeight="1">
      <c r="A171" s="63"/>
      <c r="B171" s="64" t="s">
        <v>447</v>
      </c>
      <c r="C171" s="10">
        <v>2000000000</v>
      </c>
      <c r="D171" s="10">
        <v>1000000000</v>
      </c>
    </row>
    <row r="172" spans="1:5" ht="21.75" customHeight="1">
      <c r="A172" s="65"/>
      <c r="B172" s="66" t="s">
        <v>272</v>
      </c>
      <c r="C172" s="67">
        <v>0</v>
      </c>
      <c r="D172" s="67">
        <v>400000000</v>
      </c>
    </row>
    <row r="173" spans="1:5" ht="23.25" customHeight="1">
      <c r="A173" s="57"/>
      <c r="B173" s="58" t="s">
        <v>271</v>
      </c>
      <c r="C173" s="59">
        <f>SUM(C171:C172)</f>
        <v>2000000000</v>
      </c>
      <c r="D173" s="60">
        <f>SUM(D170:D172)</f>
        <v>1400000000</v>
      </c>
    </row>
    <row r="174" spans="1:5" ht="7.5" customHeight="1">
      <c r="A174" s="45"/>
      <c r="B174" s="23"/>
      <c r="C174" s="23"/>
      <c r="D174" s="23"/>
    </row>
    <row r="175" spans="1:5" ht="22.5" customHeight="1">
      <c r="A175" s="68" t="s">
        <v>273</v>
      </c>
      <c r="B175" s="69"/>
      <c r="C175" s="16" t="str">
        <f>C161</f>
        <v>Sè cuèi kú</v>
      </c>
      <c r="D175" s="16" t="str">
        <f>D161</f>
        <v>Sè ®Çu n¨m</v>
      </c>
    </row>
    <row r="176" spans="1:5" ht="23.25" customHeight="1">
      <c r="A176" s="53"/>
      <c r="B176" s="54" t="s">
        <v>274</v>
      </c>
      <c r="C176" s="70">
        <v>6700000</v>
      </c>
      <c r="D176" s="70">
        <v>21520000</v>
      </c>
    </row>
    <row r="177" spans="1:4" ht="23.25" customHeight="1">
      <c r="A177" s="55"/>
      <c r="B177" s="56" t="s">
        <v>448</v>
      </c>
      <c r="C177" s="11">
        <v>37393200</v>
      </c>
      <c r="D177" s="11">
        <v>6819320</v>
      </c>
    </row>
    <row r="178" spans="1:4" ht="22.5" customHeight="1">
      <c r="A178" s="55"/>
      <c r="B178" s="56" t="s">
        <v>275</v>
      </c>
      <c r="C178" s="11">
        <f>SUM(C179:C180)</f>
        <v>225128434</v>
      </c>
      <c r="D178" s="11">
        <f>SUM(D179:D180)</f>
        <v>34967670</v>
      </c>
    </row>
    <row r="179" spans="1:4" ht="21" customHeight="1">
      <c r="A179" s="55"/>
      <c r="B179" s="13" t="s">
        <v>413</v>
      </c>
      <c r="C179" s="13">
        <v>21228334</v>
      </c>
      <c r="D179" s="13">
        <v>34967670</v>
      </c>
    </row>
    <row r="180" spans="1:4" ht="21" customHeight="1">
      <c r="A180" s="55"/>
      <c r="B180" s="13" t="s">
        <v>619</v>
      </c>
      <c r="C180" s="13">
        <f>90000000+26131973+87768127</f>
        <v>203900100</v>
      </c>
      <c r="D180" s="13">
        <v>0</v>
      </c>
    </row>
    <row r="181" spans="1:4" ht="22.5" customHeight="1">
      <c r="A181" s="57"/>
      <c r="B181" s="16" t="s">
        <v>271</v>
      </c>
      <c r="C181" s="60">
        <f>SUM(C176:C178)</f>
        <v>269221634</v>
      </c>
      <c r="D181" s="60">
        <f>SUM(D176:D178)</f>
        <v>63306990</v>
      </c>
    </row>
    <row r="182" spans="1:4" ht="9" customHeight="1">
      <c r="A182" s="61"/>
      <c r="B182" s="23"/>
      <c r="C182" s="24"/>
      <c r="D182" s="24"/>
    </row>
    <row r="183" spans="1:4" ht="23.25" customHeight="1">
      <c r="A183" s="68" t="s">
        <v>581</v>
      </c>
      <c r="B183" s="71"/>
      <c r="C183" s="16" t="str">
        <f>C175</f>
        <v>Sè cuèi kú</v>
      </c>
      <c r="D183" s="16" t="str">
        <f>D175</f>
        <v>Sè ®Çu n¨m</v>
      </c>
    </row>
    <row r="184" spans="1:4" ht="24" customHeight="1">
      <c r="A184" s="63"/>
      <c r="B184" s="64" t="s">
        <v>276</v>
      </c>
      <c r="C184" s="10">
        <v>0</v>
      </c>
      <c r="D184" s="10">
        <v>0</v>
      </c>
    </row>
    <row r="185" spans="1:4" ht="23.25" customHeight="1">
      <c r="A185" s="55"/>
      <c r="B185" s="56" t="s">
        <v>277</v>
      </c>
      <c r="C185" s="11">
        <v>20746509815</v>
      </c>
      <c r="D185" s="11">
        <v>15998180459</v>
      </c>
    </row>
    <row r="186" spans="1:4" ht="23.25" customHeight="1">
      <c r="A186" s="55"/>
      <c r="B186" s="56" t="s">
        <v>278</v>
      </c>
      <c r="C186" s="11">
        <v>746523206</v>
      </c>
      <c r="D186" s="11">
        <v>598884889</v>
      </c>
    </row>
    <row r="187" spans="1:4" ht="23.25" customHeight="1">
      <c r="A187" s="55"/>
      <c r="B187" s="56" t="s">
        <v>493</v>
      </c>
      <c r="C187" s="11">
        <v>6448404033</v>
      </c>
      <c r="D187" s="11">
        <v>3340062249</v>
      </c>
    </row>
    <row r="188" spans="1:4" ht="23.25" customHeight="1">
      <c r="A188" s="55"/>
      <c r="B188" s="56" t="s">
        <v>279</v>
      </c>
      <c r="C188" s="11">
        <v>10418902064</v>
      </c>
      <c r="D188" s="11">
        <v>10465424660</v>
      </c>
    </row>
    <row r="189" spans="1:4" ht="23.25" customHeight="1">
      <c r="A189" s="55"/>
      <c r="B189" s="56" t="s">
        <v>280</v>
      </c>
      <c r="C189" s="11">
        <v>2720394387</v>
      </c>
      <c r="D189" s="11">
        <v>8521052771</v>
      </c>
    </row>
    <row r="190" spans="1:4" ht="23.25" customHeight="1">
      <c r="A190" s="55"/>
      <c r="B190" s="56" t="s">
        <v>281</v>
      </c>
      <c r="C190" s="11">
        <v>803396692</v>
      </c>
      <c r="D190" s="11">
        <v>487079466</v>
      </c>
    </row>
    <row r="191" spans="1:4" ht="24.75" customHeight="1">
      <c r="A191" s="72"/>
      <c r="B191" s="73" t="s">
        <v>282</v>
      </c>
      <c r="C191" s="74">
        <v>0</v>
      </c>
      <c r="D191" s="74">
        <v>0</v>
      </c>
    </row>
    <row r="192" spans="1:4" ht="23.25" customHeight="1">
      <c r="A192" s="75"/>
      <c r="B192" s="16" t="s">
        <v>283</v>
      </c>
      <c r="C192" s="60">
        <f>SUM(C184:C191)</f>
        <v>41884130197</v>
      </c>
      <c r="D192" s="60">
        <f>SUM(D184:D191)</f>
        <v>39410684494</v>
      </c>
    </row>
    <row r="193" spans="1:5" ht="28.5" customHeight="1">
      <c r="A193" s="77" t="s">
        <v>43</v>
      </c>
      <c r="B193" s="33"/>
      <c r="C193" s="121"/>
      <c r="D193" s="132"/>
    </row>
    <row r="194" spans="1:5" ht="25.5" customHeight="1">
      <c r="A194" s="430" t="s">
        <v>44</v>
      </c>
      <c r="B194" s="431"/>
      <c r="C194" s="431"/>
      <c r="D194" s="431"/>
    </row>
    <row r="195" spans="1:5" ht="7.5" customHeight="1">
      <c r="A195" s="65"/>
      <c r="B195" s="79"/>
      <c r="C195" s="79"/>
      <c r="D195" s="79"/>
      <c r="E195" s="7"/>
    </row>
    <row r="196" spans="1:5" ht="23.25" customHeight="1">
      <c r="A196" s="68" t="s">
        <v>284</v>
      </c>
      <c r="B196" s="71"/>
      <c r="C196" s="16" t="str">
        <f>C183</f>
        <v>Sè cuèi kú</v>
      </c>
      <c r="D196" s="16" t="str">
        <f>D183</f>
        <v>Sè ®Çu n¨m</v>
      </c>
      <c r="E196" s="1"/>
    </row>
    <row r="197" spans="1:5" ht="22.5" customHeight="1">
      <c r="A197" s="212"/>
      <c r="B197" s="247" t="s">
        <v>433</v>
      </c>
      <c r="C197" s="248">
        <v>110088483</v>
      </c>
      <c r="D197" s="248">
        <v>508506697</v>
      </c>
      <c r="E197" s="1"/>
    </row>
    <row r="198" spans="1:5" ht="22.5" customHeight="1">
      <c r="A198" s="22"/>
      <c r="B198" s="31" t="s">
        <v>528</v>
      </c>
      <c r="C198" s="249">
        <v>0</v>
      </c>
      <c r="D198" s="249">
        <v>4542113</v>
      </c>
      <c r="E198" s="1"/>
    </row>
    <row r="199" spans="1:5" ht="22.5" customHeight="1">
      <c r="A199" s="250"/>
      <c r="B199" s="110" t="s">
        <v>587</v>
      </c>
      <c r="C199" s="32">
        <v>0</v>
      </c>
      <c r="D199" s="32">
        <v>1132218799</v>
      </c>
    </row>
    <row r="200" spans="1:5" ht="24" customHeight="1">
      <c r="A200" s="214"/>
      <c r="B200" s="16" t="s">
        <v>271</v>
      </c>
      <c r="C200" s="76">
        <f>SUM(C197:C199)</f>
        <v>110088483</v>
      </c>
      <c r="D200" s="76">
        <f>SUM(D197:D199)</f>
        <v>1645267609</v>
      </c>
    </row>
    <row r="201" spans="1:5" ht="9" customHeight="1">
      <c r="A201" s="45"/>
      <c r="B201" s="23"/>
      <c r="C201" s="7"/>
      <c r="D201" s="7"/>
    </row>
    <row r="202" spans="1:5" ht="24.75" customHeight="1">
      <c r="A202" s="68" t="s">
        <v>395</v>
      </c>
      <c r="B202" s="71"/>
      <c r="C202" s="16" t="str">
        <f>C196</f>
        <v>Sè cuèi kú</v>
      </c>
      <c r="D202" s="16" t="str">
        <f>D196</f>
        <v>Sè ®Çu n¨m</v>
      </c>
    </row>
    <row r="203" spans="1:5" ht="24" customHeight="1">
      <c r="A203" s="212"/>
      <c r="B203" s="54" t="s">
        <v>434</v>
      </c>
      <c r="C203" s="11">
        <v>1835446600</v>
      </c>
      <c r="D203" s="11">
        <v>0</v>
      </c>
    </row>
    <row r="204" spans="1:5" ht="24" customHeight="1">
      <c r="A204" s="210"/>
      <c r="B204" s="64" t="s">
        <v>435</v>
      </c>
      <c r="C204" s="14">
        <v>1123210603</v>
      </c>
      <c r="D204" s="14">
        <v>480158020</v>
      </c>
    </row>
    <row r="205" spans="1:5" ht="22.5" customHeight="1">
      <c r="A205" s="214"/>
      <c r="B205" s="16" t="s">
        <v>271</v>
      </c>
      <c r="C205" s="76">
        <f>SUM(C203:C204)</f>
        <v>2958657203</v>
      </c>
      <c r="D205" s="76">
        <f>SUM(D203:D204)</f>
        <v>480158020</v>
      </c>
    </row>
    <row r="206" spans="1:5" ht="9.75" customHeight="1">
      <c r="A206" s="45"/>
      <c r="B206" s="23"/>
      <c r="C206" s="7"/>
      <c r="D206" s="7"/>
    </row>
    <row r="207" spans="1:5" ht="18" customHeight="1">
      <c r="A207" s="45" t="s">
        <v>397</v>
      </c>
      <c r="B207" s="23"/>
      <c r="C207" s="7"/>
      <c r="D207" s="7"/>
    </row>
    <row r="208" spans="1:5" ht="20.25" customHeight="1">
      <c r="A208" s="81" t="s">
        <v>396</v>
      </c>
      <c r="B208" s="81"/>
      <c r="C208" s="23"/>
      <c r="D208" s="23"/>
      <c r="E208" s="1"/>
    </row>
    <row r="209" spans="1:10" ht="24" customHeight="1">
      <c r="A209" s="39" t="s">
        <v>398</v>
      </c>
    </row>
    <row r="210" spans="1:10" ht="12.75" customHeight="1">
      <c r="A210" s="39"/>
    </row>
    <row r="211" spans="1:10" ht="15.75">
      <c r="A211" s="82"/>
      <c r="B211" s="83"/>
      <c r="C211" s="83" t="s">
        <v>285</v>
      </c>
      <c r="D211" s="83" t="s">
        <v>286</v>
      </c>
      <c r="E211" s="83" t="s">
        <v>287</v>
      </c>
      <c r="F211" s="83" t="s">
        <v>288</v>
      </c>
      <c r="G211" s="83" t="s">
        <v>289</v>
      </c>
      <c r="H211" s="83"/>
    </row>
    <row r="212" spans="1:10" ht="15.75">
      <c r="A212" s="84" t="s">
        <v>290</v>
      </c>
      <c r="B212" s="84" t="s">
        <v>291</v>
      </c>
      <c r="C212" s="84" t="s">
        <v>635</v>
      </c>
      <c r="D212" s="84" t="s">
        <v>292</v>
      </c>
      <c r="E212" s="84" t="s">
        <v>597</v>
      </c>
      <c r="F212" s="84" t="s">
        <v>293</v>
      </c>
      <c r="G212" s="84" t="s">
        <v>294</v>
      </c>
      <c r="H212" s="84" t="s">
        <v>93</v>
      </c>
    </row>
    <row r="213" spans="1:10" ht="15.75">
      <c r="A213" s="85"/>
      <c r="B213" s="86"/>
      <c r="C213" s="18" t="s">
        <v>636</v>
      </c>
      <c r="D213" s="18" t="s">
        <v>295</v>
      </c>
      <c r="E213" s="18" t="s">
        <v>598</v>
      </c>
      <c r="F213" s="86"/>
      <c r="G213" s="86"/>
      <c r="H213" s="86"/>
    </row>
    <row r="214" spans="1:10" ht="21" customHeight="1">
      <c r="A214" s="87" t="s">
        <v>296</v>
      </c>
      <c r="B214" s="88"/>
      <c r="C214" s="88"/>
      <c r="D214" s="88"/>
      <c r="E214" s="88"/>
      <c r="F214" s="88"/>
      <c r="G214" s="88"/>
      <c r="H214" s="88"/>
    </row>
    <row r="215" spans="1:10" ht="18.75" customHeight="1">
      <c r="A215" s="20" t="s">
        <v>297</v>
      </c>
      <c r="B215" s="27">
        <v>54525223545</v>
      </c>
      <c r="C215" s="27">
        <v>24325135809</v>
      </c>
      <c r="D215" s="27">
        <v>9675843022</v>
      </c>
      <c r="E215" s="27">
        <v>938886372</v>
      </c>
      <c r="F215" s="27">
        <v>0</v>
      </c>
      <c r="G215" s="27">
        <f>SUM(B215:F215)</f>
        <v>89465088748</v>
      </c>
      <c r="H215" s="27"/>
    </row>
    <row r="216" spans="1:10" ht="18.75" customHeight="1">
      <c r="A216" s="89" t="s">
        <v>298</v>
      </c>
      <c r="B216" s="30"/>
      <c r="C216" s="30">
        <v>545454545</v>
      </c>
      <c r="D216" s="30">
        <v>1290909091</v>
      </c>
      <c r="E216" s="30">
        <v>23636364</v>
      </c>
      <c r="F216" s="30"/>
      <c r="G216" s="90">
        <f t="shared" ref="G216:G221" si="0">SUM(B216:F216)</f>
        <v>1860000000</v>
      </c>
      <c r="H216" s="28"/>
    </row>
    <row r="217" spans="1:10" ht="17.25" customHeight="1">
      <c r="A217" s="89" t="s">
        <v>299</v>
      </c>
      <c r="B217" s="217">
        <v>2293561817</v>
      </c>
      <c r="C217" s="30"/>
      <c r="D217" s="30"/>
      <c r="E217" s="30"/>
      <c r="F217" s="30"/>
      <c r="G217" s="90">
        <f t="shared" si="0"/>
        <v>2293561817</v>
      </c>
      <c r="H217" s="28"/>
    </row>
    <row r="218" spans="1:10" ht="17.25" customHeight="1">
      <c r="A218" s="89" t="s">
        <v>300</v>
      </c>
      <c r="B218" s="30"/>
      <c r="C218" s="30"/>
      <c r="D218" s="30"/>
      <c r="E218" s="30"/>
      <c r="F218" s="30"/>
      <c r="G218" s="90"/>
      <c r="H218" s="28"/>
    </row>
    <row r="219" spans="1:10" ht="17.25" customHeight="1">
      <c r="A219" s="89" t="s">
        <v>301</v>
      </c>
      <c r="B219" s="30"/>
      <c r="C219" s="30"/>
      <c r="D219" s="30"/>
      <c r="E219" s="30"/>
      <c r="F219" s="30"/>
      <c r="G219" s="90"/>
      <c r="H219" s="28"/>
    </row>
    <row r="220" spans="1:10" ht="17.25" customHeight="1">
      <c r="A220" s="89" t="s">
        <v>302</v>
      </c>
      <c r="B220" s="30"/>
      <c r="C220" s="30"/>
      <c r="D220" s="30"/>
      <c r="E220" s="30"/>
      <c r="F220" s="30"/>
      <c r="G220" s="90"/>
      <c r="H220" s="28"/>
    </row>
    <row r="221" spans="1:10" s="260" customFormat="1" ht="17.25" customHeight="1">
      <c r="A221" s="259" t="s">
        <v>303</v>
      </c>
      <c r="B221" s="244"/>
      <c r="C221" s="244"/>
      <c r="D221" s="244"/>
      <c r="E221" s="244"/>
      <c r="F221" s="244"/>
      <c r="G221" s="245">
        <f t="shared" si="0"/>
        <v>0</v>
      </c>
      <c r="H221" s="108"/>
      <c r="J221" s="294"/>
    </row>
    <row r="222" spans="1:10" ht="21" customHeight="1">
      <c r="A222" s="20" t="s">
        <v>304</v>
      </c>
      <c r="B222" s="27">
        <f t="shared" ref="B222:G222" si="1">B215+B216+B217+B218+B219+B220+B221</f>
        <v>56818785362</v>
      </c>
      <c r="C222" s="27">
        <f t="shared" si="1"/>
        <v>24870590354</v>
      </c>
      <c r="D222" s="27">
        <f t="shared" si="1"/>
        <v>10966752113</v>
      </c>
      <c r="E222" s="27">
        <f t="shared" si="1"/>
        <v>962522736</v>
      </c>
      <c r="F222" s="27">
        <f t="shared" si="1"/>
        <v>0</v>
      </c>
      <c r="G222" s="27">
        <f t="shared" si="1"/>
        <v>93618650565</v>
      </c>
      <c r="H222" s="27"/>
    </row>
    <row r="223" spans="1:10" ht="21" customHeight="1">
      <c r="A223" s="91" t="s">
        <v>305</v>
      </c>
      <c r="B223" s="28"/>
      <c r="C223" s="28"/>
      <c r="D223" s="28"/>
      <c r="E223" s="28"/>
      <c r="F223" s="28"/>
      <c r="G223" s="28"/>
      <c r="H223" s="28"/>
    </row>
    <row r="224" spans="1:10" ht="21" customHeight="1">
      <c r="A224" s="20" t="s">
        <v>297</v>
      </c>
      <c r="B224" s="27">
        <v>12136482943</v>
      </c>
      <c r="C224" s="27">
        <v>15842906724</v>
      </c>
      <c r="D224" s="27">
        <v>6013775795</v>
      </c>
      <c r="E224" s="27">
        <v>512601567</v>
      </c>
      <c r="F224" s="27">
        <v>0</v>
      </c>
      <c r="G224" s="27">
        <f>SUM(B224:F224)</f>
        <v>34505767029</v>
      </c>
      <c r="H224" s="27"/>
    </row>
    <row r="225" spans="1:10" ht="19.5" customHeight="1">
      <c r="A225" s="30" t="s">
        <v>306</v>
      </c>
      <c r="B225" s="217">
        <v>850287067</v>
      </c>
      <c r="C225" s="217">
        <f>641135735-34415</f>
        <v>641101320</v>
      </c>
      <c r="D225" s="217">
        <v>282866129</v>
      </c>
      <c r="E225" s="217">
        <v>38033502</v>
      </c>
      <c r="F225" s="217"/>
      <c r="G225" s="90">
        <f>SUM(B225:F225)</f>
        <v>1812288018</v>
      </c>
      <c r="H225" s="30"/>
    </row>
    <row r="226" spans="1:10" ht="18" customHeight="1">
      <c r="A226" s="30" t="s">
        <v>45</v>
      </c>
      <c r="B226" s="30"/>
      <c r="C226" s="30"/>
      <c r="D226" s="30"/>
      <c r="E226" s="217"/>
      <c r="F226" s="30"/>
      <c r="G226" s="90"/>
      <c r="H226" s="30"/>
    </row>
    <row r="227" spans="1:10" ht="18" customHeight="1">
      <c r="A227" s="30" t="s">
        <v>46</v>
      </c>
      <c r="B227" s="30"/>
      <c r="C227" s="30"/>
      <c r="D227" s="30"/>
      <c r="E227" s="30"/>
      <c r="F227" s="30"/>
      <c r="G227" s="90"/>
      <c r="H227" s="30"/>
    </row>
    <row r="228" spans="1:10" ht="18" customHeight="1">
      <c r="A228" s="30" t="s">
        <v>307</v>
      </c>
      <c r="B228" s="30"/>
      <c r="C228" s="30"/>
      <c r="D228" s="30"/>
      <c r="E228" s="30"/>
      <c r="F228" s="30"/>
      <c r="G228" s="90"/>
      <c r="H228" s="30"/>
    </row>
    <row r="229" spans="1:10" s="260" customFormat="1" ht="18" customHeight="1">
      <c r="A229" s="244" t="s">
        <v>308</v>
      </c>
      <c r="B229" s="244"/>
      <c r="C229" s="244"/>
      <c r="D229" s="244"/>
      <c r="E229" s="244"/>
      <c r="F229" s="244"/>
      <c r="G229" s="245">
        <f>SUM(B229:F229)</f>
        <v>0</v>
      </c>
      <c r="H229" s="244"/>
      <c r="J229" s="294"/>
    </row>
    <row r="230" spans="1:10" ht="19.5" customHeight="1">
      <c r="A230" s="20" t="s">
        <v>304</v>
      </c>
      <c r="B230" s="27">
        <f>B224+B225-B229</f>
        <v>12986770010</v>
      </c>
      <c r="C230" s="27">
        <f>C224+C225+C229</f>
        <v>16484008044</v>
      </c>
      <c r="D230" s="27">
        <f>D224+D225-D228</f>
        <v>6296641924</v>
      </c>
      <c r="E230" s="27">
        <f>E224+E225-E228</f>
        <v>550635069</v>
      </c>
      <c r="F230" s="27">
        <f>F224+F225-F229</f>
        <v>0</v>
      </c>
      <c r="G230" s="27">
        <f>SUM(B230:F230)</f>
        <v>36318055047</v>
      </c>
      <c r="H230" s="27"/>
    </row>
    <row r="231" spans="1:10" ht="19.5" customHeight="1">
      <c r="A231" s="91" t="s">
        <v>309</v>
      </c>
      <c r="B231" s="28"/>
      <c r="C231" s="28"/>
      <c r="D231" s="28"/>
      <c r="E231" s="28"/>
      <c r="F231" s="28"/>
      <c r="G231" s="28"/>
      <c r="H231" s="28"/>
    </row>
    <row r="232" spans="1:10" ht="19.5" customHeight="1">
      <c r="A232" s="27" t="s">
        <v>310</v>
      </c>
      <c r="B232" s="91">
        <f t="shared" ref="B232:G232" si="2">B215-B224</f>
        <v>42388740602</v>
      </c>
      <c r="C232" s="91">
        <f t="shared" si="2"/>
        <v>8482229085</v>
      </c>
      <c r="D232" s="91">
        <f t="shared" si="2"/>
        <v>3662067227</v>
      </c>
      <c r="E232" s="91">
        <f t="shared" si="2"/>
        <v>426284805</v>
      </c>
      <c r="F232" s="91">
        <f t="shared" si="2"/>
        <v>0</v>
      </c>
      <c r="G232" s="91">
        <f t="shared" si="2"/>
        <v>54959321719</v>
      </c>
      <c r="H232" s="27"/>
    </row>
    <row r="233" spans="1:10" ht="19.5" customHeight="1">
      <c r="A233" s="27" t="s">
        <v>311</v>
      </c>
      <c r="B233" s="91">
        <f t="shared" ref="B233:G233" si="3">B222-B230</f>
        <v>43832015352</v>
      </c>
      <c r="C233" s="91">
        <f t="shared" si="3"/>
        <v>8386582310</v>
      </c>
      <c r="D233" s="91">
        <f t="shared" si="3"/>
        <v>4670110189</v>
      </c>
      <c r="E233" s="91">
        <f t="shared" si="3"/>
        <v>411887667</v>
      </c>
      <c r="F233" s="91">
        <f t="shared" si="3"/>
        <v>0</v>
      </c>
      <c r="G233" s="91">
        <f t="shared" si="3"/>
        <v>57300595518</v>
      </c>
      <c r="H233" s="27"/>
    </row>
    <row r="234" spans="1:10" ht="33.75" customHeight="1">
      <c r="A234" s="376" t="s">
        <v>425</v>
      </c>
      <c r="B234" s="80">
        <v>4407385149</v>
      </c>
      <c r="C234" s="80">
        <v>8484915972</v>
      </c>
      <c r="D234" s="80">
        <v>2896180201</v>
      </c>
      <c r="E234" s="80">
        <v>348002531</v>
      </c>
      <c r="F234" s="80">
        <v>0</v>
      </c>
      <c r="G234" s="80">
        <f>SUM(B234:F234)</f>
        <v>16136483853</v>
      </c>
      <c r="H234" s="28"/>
    </row>
    <row r="235" spans="1:10" ht="20.25" customHeight="1">
      <c r="A235" s="80" t="s">
        <v>312</v>
      </c>
      <c r="B235" s="55"/>
      <c r="C235" s="55"/>
      <c r="D235" s="55"/>
      <c r="E235" s="55"/>
      <c r="F235" s="55"/>
      <c r="G235" s="55"/>
      <c r="H235" s="28"/>
    </row>
    <row r="236" spans="1:10" ht="20.25" customHeight="1">
      <c r="A236" s="80" t="s">
        <v>422</v>
      </c>
      <c r="B236" s="55"/>
      <c r="C236" s="55"/>
      <c r="D236" s="55"/>
      <c r="E236" s="55"/>
      <c r="F236" s="55"/>
      <c r="G236" s="55"/>
      <c r="H236" s="28"/>
    </row>
    <row r="237" spans="1:10" ht="20.25" customHeight="1">
      <c r="A237" s="146" t="s">
        <v>313</v>
      </c>
      <c r="B237" s="65"/>
      <c r="C237" s="32"/>
      <c r="D237" s="65"/>
      <c r="E237" s="65"/>
      <c r="F237" s="65"/>
      <c r="G237" s="65"/>
      <c r="H237" s="32"/>
    </row>
    <row r="238" spans="1:10" ht="24.75" customHeight="1">
      <c r="A238" s="39" t="s">
        <v>399</v>
      </c>
      <c r="C238" s="207"/>
    </row>
    <row r="239" spans="1:10" ht="28.5" customHeight="1">
      <c r="A239" s="39" t="s">
        <v>400</v>
      </c>
      <c r="B239" s="6"/>
    </row>
    <row r="240" spans="1:10" ht="12" customHeight="1">
      <c r="A240" s="6"/>
      <c r="B240" s="6"/>
    </row>
    <row r="241" spans="1:9" ht="15.75">
      <c r="A241" s="82"/>
      <c r="B241" s="83" t="s">
        <v>314</v>
      </c>
      <c r="C241" s="83" t="s">
        <v>315</v>
      </c>
      <c r="D241" s="83" t="s">
        <v>316</v>
      </c>
      <c r="E241" s="83" t="s">
        <v>599</v>
      </c>
      <c r="F241" s="83" t="s">
        <v>288</v>
      </c>
      <c r="G241" s="83"/>
      <c r="H241" s="83"/>
      <c r="I241" s="7"/>
    </row>
    <row r="242" spans="1:9" ht="15.75">
      <c r="A242" s="84" t="s">
        <v>317</v>
      </c>
      <c r="B242" s="84" t="s">
        <v>318</v>
      </c>
      <c r="C242" s="84" t="s">
        <v>319</v>
      </c>
      <c r="D242" s="84" t="s">
        <v>320</v>
      </c>
      <c r="E242" s="84" t="s">
        <v>600</v>
      </c>
      <c r="F242" s="84" t="s">
        <v>321</v>
      </c>
      <c r="G242" s="84" t="s">
        <v>322</v>
      </c>
      <c r="H242" s="84" t="s">
        <v>93</v>
      </c>
      <c r="I242" s="7"/>
    </row>
    <row r="243" spans="1:9" ht="15.75">
      <c r="A243" s="85"/>
      <c r="B243" s="18" t="s">
        <v>323</v>
      </c>
      <c r="C243" s="18" t="s">
        <v>324</v>
      </c>
      <c r="D243" s="18" t="s">
        <v>325</v>
      </c>
      <c r="E243" s="18" t="s">
        <v>601</v>
      </c>
      <c r="F243" s="18" t="s">
        <v>293</v>
      </c>
      <c r="G243" s="86"/>
      <c r="H243" s="86"/>
      <c r="I243" s="7"/>
    </row>
    <row r="244" spans="1:9" ht="24" customHeight="1">
      <c r="A244" s="87" t="s">
        <v>326</v>
      </c>
      <c r="B244" s="93"/>
      <c r="C244" s="88"/>
      <c r="D244" s="88"/>
      <c r="E244" s="88"/>
      <c r="F244" s="88"/>
      <c r="G244" s="88"/>
      <c r="H244" s="88"/>
      <c r="I244" s="7"/>
    </row>
    <row r="245" spans="1:9" ht="24" customHeight="1">
      <c r="A245" s="20" t="s">
        <v>297</v>
      </c>
      <c r="B245" s="94">
        <v>3038689253</v>
      </c>
      <c r="C245" s="28"/>
      <c r="D245" s="28"/>
      <c r="E245" s="28"/>
      <c r="F245" s="28"/>
      <c r="G245" s="27">
        <f>SUM(B245:F245)</f>
        <v>3038689253</v>
      </c>
      <c r="H245" s="27"/>
      <c r="I245" s="7"/>
    </row>
    <row r="246" spans="1:9" ht="21.75" customHeight="1">
      <c r="A246" s="89" t="s">
        <v>298</v>
      </c>
      <c r="B246" s="30"/>
      <c r="C246" s="30"/>
      <c r="D246" s="30"/>
      <c r="E246" s="30"/>
      <c r="F246" s="30"/>
      <c r="G246" s="90">
        <f>SUM(B246:F246)</f>
        <v>0</v>
      </c>
      <c r="H246" s="90"/>
      <c r="I246" s="7"/>
    </row>
    <row r="247" spans="1:9" ht="21.75" customHeight="1">
      <c r="A247" s="89" t="s">
        <v>327</v>
      </c>
      <c r="B247" s="30"/>
      <c r="C247" s="30"/>
      <c r="D247" s="30"/>
      <c r="E247" s="30"/>
      <c r="F247" s="30"/>
      <c r="G247" s="90">
        <f>SUM(B247:F247)</f>
        <v>0</v>
      </c>
      <c r="H247" s="90"/>
      <c r="I247" s="7"/>
    </row>
    <row r="248" spans="1:9" ht="21.75" customHeight="1">
      <c r="A248" s="89" t="s">
        <v>328</v>
      </c>
      <c r="B248" s="30"/>
      <c r="C248" s="30"/>
      <c r="D248" s="30"/>
      <c r="E248" s="30"/>
      <c r="F248" s="30"/>
      <c r="G248" s="90">
        <f>SUM(B248:F248)</f>
        <v>0</v>
      </c>
      <c r="H248" s="90"/>
      <c r="I248" s="7"/>
    </row>
    <row r="249" spans="1:9" ht="21.75" customHeight="1">
      <c r="A249" s="89" t="s">
        <v>302</v>
      </c>
      <c r="B249" s="30"/>
      <c r="C249" s="30"/>
      <c r="D249" s="30"/>
      <c r="E249" s="30"/>
      <c r="F249" s="30"/>
      <c r="G249" s="90">
        <f>SUM(B249:F249)</f>
        <v>0</v>
      </c>
      <c r="H249" s="90"/>
      <c r="I249" s="7"/>
    </row>
    <row r="250" spans="1:9" ht="24" customHeight="1">
      <c r="A250" s="20" t="s">
        <v>304</v>
      </c>
      <c r="B250" s="94">
        <f t="shared" ref="B250:G250" si="4">SUM(B245:B249)</f>
        <v>3038689253</v>
      </c>
      <c r="C250" s="94">
        <f t="shared" si="4"/>
        <v>0</v>
      </c>
      <c r="D250" s="94">
        <f t="shared" si="4"/>
        <v>0</v>
      </c>
      <c r="E250" s="94">
        <f t="shared" si="4"/>
        <v>0</v>
      </c>
      <c r="F250" s="94">
        <f t="shared" si="4"/>
        <v>0</v>
      </c>
      <c r="G250" s="94">
        <f t="shared" si="4"/>
        <v>3038689253</v>
      </c>
      <c r="H250" s="94"/>
      <c r="I250" s="7"/>
    </row>
    <row r="251" spans="1:9" ht="24" customHeight="1">
      <c r="A251" s="91" t="s">
        <v>305</v>
      </c>
      <c r="B251" s="27"/>
      <c r="C251" s="28"/>
      <c r="D251" s="28"/>
      <c r="E251" s="28"/>
      <c r="F251" s="28"/>
      <c r="G251" s="28"/>
      <c r="H251" s="28"/>
      <c r="I251" s="7"/>
    </row>
    <row r="252" spans="1:9" ht="24" customHeight="1">
      <c r="A252" s="20" t="s">
        <v>297</v>
      </c>
      <c r="B252" s="27">
        <v>792123840</v>
      </c>
      <c r="C252" s="28"/>
      <c r="D252" s="28"/>
      <c r="E252" s="28"/>
      <c r="F252" s="28"/>
      <c r="G252" s="27">
        <f>SUM(B252:F252)</f>
        <v>792123840</v>
      </c>
      <c r="H252" s="27"/>
      <c r="I252" s="7"/>
    </row>
    <row r="253" spans="1:9" ht="24" customHeight="1">
      <c r="A253" s="89" t="s">
        <v>329</v>
      </c>
      <c r="B253" s="30">
        <v>40753035</v>
      </c>
      <c r="C253" s="28"/>
      <c r="D253" s="28"/>
      <c r="E253" s="28"/>
      <c r="F253" s="28"/>
      <c r="G253" s="90">
        <f t="shared" ref="G253:G259" si="5">SUM(B253:F253)</f>
        <v>40753035</v>
      </c>
      <c r="H253" s="90"/>
      <c r="I253" s="7"/>
    </row>
    <row r="254" spans="1:9" ht="24" customHeight="1">
      <c r="A254" s="89" t="s">
        <v>302</v>
      </c>
      <c r="B254" s="28"/>
      <c r="C254" s="28"/>
      <c r="D254" s="28"/>
      <c r="E254" s="28"/>
      <c r="F254" s="28"/>
      <c r="G254" s="90">
        <f t="shared" si="5"/>
        <v>0</v>
      </c>
      <c r="H254" s="90"/>
      <c r="I254" s="7"/>
    </row>
    <row r="255" spans="1:9" ht="24" customHeight="1">
      <c r="A255" s="89" t="s">
        <v>303</v>
      </c>
      <c r="B255" s="28"/>
      <c r="C255" s="28"/>
      <c r="D255" s="28"/>
      <c r="E255" s="28"/>
      <c r="F255" s="28"/>
      <c r="G255" s="90">
        <f t="shared" si="5"/>
        <v>0</v>
      </c>
      <c r="H255" s="90"/>
      <c r="I255" s="7"/>
    </row>
    <row r="256" spans="1:9" ht="24" customHeight="1">
      <c r="A256" s="20" t="s">
        <v>304</v>
      </c>
      <c r="B256" s="94">
        <f>B252+B253-B254-B255</f>
        <v>832876875</v>
      </c>
      <c r="C256" s="94">
        <f>C252+C253-C254-C255</f>
        <v>0</v>
      </c>
      <c r="D256" s="94">
        <f>D252+D253-D254-D255</f>
        <v>0</v>
      </c>
      <c r="E256" s="94">
        <f>E252+E253-E254-E255</f>
        <v>0</v>
      </c>
      <c r="F256" s="94">
        <f>F252+F253-F254-F255</f>
        <v>0</v>
      </c>
      <c r="G256" s="27">
        <f t="shared" si="5"/>
        <v>832876875</v>
      </c>
      <c r="H256" s="27"/>
      <c r="I256" s="7"/>
    </row>
    <row r="257" spans="1:9" ht="24" customHeight="1">
      <c r="A257" s="91" t="s">
        <v>330</v>
      </c>
      <c r="B257" s="27"/>
      <c r="C257" s="28"/>
      <c r="D257" s="28"/>
      <c r="E257" s="28"/>
      <c r="F257" s="28"/>
      <c r="G257" s="28"/>
      <c r="H257" s="28"/>
      <c r="I257" s="7"/>
    </row>
    <row r="258" spans="1:9" ht="26.25" customHeight="1">
      <c r="A258" s="95" t="s">
        <v>331</v>
      </c>
      <c r="B258" s="27">
        <f>B245-B252</f>
        <v>2246565413</v>
      </c>
      <c r="C258" s="27">
        <f>C245-C252</f>
        <v>0</v>
      </c>
      <c r="D258" s="27">
        <f>D245-D252</f>
        <v>0</v>
      </c>
      <c r="E258" s="27">
        <f>E245-E252</f>
        <v>0</v>
      </c>
      <c r="F258" s="27">
        <f>F245-F252</f>
        <v>0</v>
      </c>
      <c r="G258" s="27">
        <f t="shared" si="5"/>
        <v>2246565413</v>
      </c>
      <c r="H258" s="27"/>
    </row>
    <row r="259" spans="1:9" ht="26.25" customHeight="1">
      <c r="A259" s="96" t="s">
        <v>332</v>
      </c>
      <c r="B259" s="92">
        <f>B250-B256</f>
        <v>2205812378</v>
      </c>
      <c r="C259" s="92">
        <f>C250-C256</f>
        <v>0</v>
      </c>
      <c r="D259" s="92">
        <f>D250-D256</f>
        <v>0</v>
      </c>
      <c r="E259" s="92">
        <f>E250-E256</f>
        <v>0</v>
      </c>
      <c r="F259" s="92">
        <f>F250-F256</f>
        <v>0</v>
      </c>
      <c r="G259" s="92">
        <f t="shared" si="5"/>
        <v>2205812378</v>
      </c>
      <c r="H259" s="92"/>
    </row>
    <row r="260" spans="1:9" ht="10.5" customHeight="1">
      <c r="A260" s="97"/>
      <c r="B260" s="24"/>
      <c r="C260" s="24"/>
      <c r="D260" s="24"/>
      <c r="E260" s="24"/>
      <c r="F260" s="24"/>
      <c r="G260" s="24"/>
      <c r="H260" s="24"/>
    </row>
    <row r="261" spans="1:9" ht="27.75" customHeight="1">
      <c r="A261" s="24" t="s">
        <v>505</v>
      </c>
      <c r="B261" s="24"/>
      <c r="C261" s="24"/>
      <c r="D261" s="24"/>
      <c r="E261" s="24"/>
      <c r="F261" s="24"/>
      <c r="G261" s="24"/>
      <c r="H261" s="24"/>
    </row>
    <row r="262" spans="1:9" ht="11.25" customHeight="1">
      <c r="A262" s="24"/>
      <c r="B262" s="24"/>
      <c r="C262" s="24"/>
      <c r="D262" s="24"/>
      <c r="E262" s="24"/>
      <c r="F262" s="24"/>
      <c r="G262" s="24"/>
      <c r="H262" s="24"/>
    </row>
    <row r="263" spans="1:9" ht="23.25" customHeight="1">
      <c r="A263" s="98"/>
      <c r="B263" s="58" t="s">
        <v>333</v>
      </c>
      <c r="C263" s="15" t="s">
        <v>165</v>
      </c>
      <c r="D263" s="16" t="s">
        <v>99</v>
      </c>
      <c r="E263" s="24"/>
      <c r="F263" s="24"/>
      <c r="G263" s="24"/>
      <c r="H263" s="24"/>
    </row>
    <row r="264" spans="1:9" ht="21" customHeight="1">
      <c r="A264" s="22">
        <v>1</v>
      </c>
      <c r="B264" s="213" t="s">
        <v>494</v>
      </c>
      <c r="C264" s="11">
        <v>0</v>
      </c>
      <c r="D264" s="11">
        <f>1031146365+6505548062+51831682</f>
        <v>7588526109</v>
      </c>
    </row>
    <row r="265" spans="1:9" ht="21" customHeight="1">
      <c r="A265" s="22">
        <v>2</v>
      </c>
      <c r="B265" s="213" t="s">
        <v>608</v>
      </c>
      <c r="C265" s="11">
        <v>6514894484</v>
      </c>
      <c r="D265" s="11">
        <v>0</v>
      </c>
    </row>
    <row r="266" spans="1:9" ht="21" customHeight="1">
      <c r="A266" s="22">
        <v>3</v>
      </c>
      <c r="B266" s="213" t="s">
        <v>588</v>
      </c>
      <c r="C266" s="11">
        <f>89000000+46615858</f>
        <v>135615858</v>
      </c>
      <c r="D266" s="11">
        <v>0</v>
      </c>
    </row>
    <row r="267" spans="1:9" ht="21" customHeight="1">
      <c r="A267" s="22">
        <v>4</v>
      </c>
      <c r="B267" s="213" t="s">
        <v>589</v>
      </c>
      <c r="C267" s="11">
        <f>68000000+46615858</f>
        <v>114615858</v>
      </c>
      <c r="D267" s="11">
        <v>0</v>
      </c>
    </row>
    <row r="268" spans="1:9" ht="21" customHeight="1">
      <c r="A268" s="22">
        <v>5</v>
      </c>
      <c r="B268" s="213" t="s">
        <v>606</v>
      </c>
      <c r="C268" s="11">
        <v>73412990</v>
      </c>
      <c r="D268" s="11">
        <v>0</v>
      </c>
    </row>
    <row r="269" spans="1:9" ht="21" customHeight="1">
      <c r="A269" s="22">
        <v>6</v>
      </c>
      <c r="B269" s="213" t="s">
        <v>609</v>
      </c>
      <c r="C269" s="11">
        <v>23679000</v>
      </c>
      <c r="D269" s="11">
        <v>0</v>
      </c>
    </row>
    <row r="270" spans="1:9" ht="21" customHeight="1">
      <c r="A270" s="22">
        <v>7</v>
      </c>
      <c r="B270" s="213" t="s">
        <v>495</v>
      </c>
      <c r="C270" s="29">
        <v>0</v>
      </c>
      <c r="D270" s="29">
        <v>-4800000</v>
      </c>
    </row>
    <row r="271" spans="1:9" ht="21" customHeight="1">
      <c r="A271" s="22">
        <v>8</v>
      </c>
      <c r="B271" s="213" t="s">
        <v>590</v>
      </c>
      <c r="C271" s="29">
        <v>9480000</v>
      </c>
      <c r="D271" s="29">
        <v>0</v>
      </c>
    </row>
    <row r="272" spans="1:9" ht="21" customHeight="1">
      <c r="A272" s="22">
        <v>9</v>
      </c>
      <c r="B272" s="213" t="s">
        <v>610</v>
      </c>
      <c r="C272" s="29">
        <v>76675191</v>
      </c>
      <c r="D272" s="29">
        <v>0</v>
      </c>
    </row>
    <row r="273" spans="1:4" ht="21" customHeight="1">
      <c r="A273" s="22">
        <v>10</v>
      </c>
      <c r="B273" s="213" t="s">
        <v>611</v>
      </c>
      <c r="C273" s="29">
        <v>178000000</v>
      </c>
      <c r="D273" s="29">
        <v>0</v>
      </c>
    </row>
    <row r="274" spans="1:4" ht="21" customHeight="1">
      <c r="A274" s="22">
        <v>11</v>
      </c>
      <c r="B274" s="213" t="s">
        <v>607</v>
      </c>
      <c r="C274" s="29">
        <v>33667000</v>
      </c>
      <c r="D274" s="29">
        <v>0</v>
      </c>
    </row>
    <row r="275" spans="1:4" ht="21" customHeight="1">
      <c r="A275" s="22">
        <v>12</v>
      </c>
      <c r="B275" s="213" t="s">
        <v>612</v>
      </c>
      <c r="C275" s="29">
        <v>54047514</v>
      </c>
      <c r="D275" s="29">
        <v>0</v>
      </c>
    </row>
    <row r="276" spans="1:4" ht="21" customHeight="1">
      <c r="A276" s="22">
        <v>13</v>
      </c>
      <c r="B276" s="213" t="s">
        <v>496</v>
      </c>
      <c r="C276" s="29">
        <v>0</v>
      </c>
      <c r="D276" s="29">
        <v>-3050000</v>
      </c>
    </row>
    <row r="277" spans="1:4" ht="21" customHeight="1">
      <c r="A277" s="22">
        <v>14</v>
      </c>
      <c r="B277" s="213" t="s">
        <v>497</v>
      </c>
      <c r="C277" s="29">
        <v>0</v>
      </c>
      <c r="D277" s="29">
        <v>94949932</v>
      </c>
    </row>
    <row r="278" spans="1:4" ht="21" customHeight="1">
      <c r="A278" s="377">
        <v>15</v>
      </c>
      <c r="B278" s="213" t="s">
        <v>498</v>
      </c>
      <c r="C278" s="29">
        <v>0</v>
      </c>
      <c r="D278" s="11">
        <f>4020000+165454545+4600000</f>
        <v>174074545</v>
      </c>
    </row>
    <row r="279" spans="1:4" ht="22.5" customHeight="1">
      <c r="A279" s="378"/>
      <c r="B279" s="16" t="s">
        <v>271</v>
      </c>
      <c r="C279" s="52">
        <f>SUM(C264:C278)</f>
        <v>7214087895</v>
      </c>
      <c r="D279" s="52">
        <f>SUM(D264:D278)</f>
        <v>7849700586</v>
      </c>
    </row>
    <row r="280" spans="1:4" ht="24.75" customHeight="1">
      <c r="A280" s="81" t="s">
        <v>506</v>
      </c>
      <c r="B280" s="7"/>
      <c r="C280" s="23"/>
      <c r="D280" s="23"/>
    </row>
    <row r="281" spans="1:4" ht="11.25" customHeight="1">
      <c r="A281" s="81"/>
      <c r="B281" s="7"/>
      <c r="C281" s="23"/>
      <c r="D281" s="23"/>
    </row>
    <row r="282" spans="1:4" ht="25.5" customHeight="1">
      <c r="A282" s="68" t="s">
        <v>507</v>
      </c>
      <c r="B282" s="209"/>
      <c r="C282" s="15" t="s">
        <v>165</v>
      </c>
      <c r="D282" s="16" t="s">
        <v>99</v>
      </c>
    </row>
    <row r="283" spans="1:4" ht="23.25" customHeight="1">
      <c r="A283" s="208"/>
      <c r="B283" s="64" t="s">
        <v>436</v>
      </c>
      <c r="C283" s="28">
        <v>0</v>
      </c>
      <c r="D283" s="28">
        <v>3638000</v>
      </c>
    </row>
    <row r="284" spans="1:4" ht="23.25" customHeight="1">
      <c r="A284" s="22"/>
      <c r="B284" s="213" t="s">
        <v>437</v>
      </c>
      <c r="C284" s="14">
        <v>0</v>
      </c>
      <c r="D284" s="11">
        <v>7584000</v>
      </c>
    </row>
    <row r="285" spans="1:4" ht="23.25" customHeight="1">
      <c r="A285" s="22"/>
      <c r="B285" s="339" t="s">
        <v>539</v>
      </c>
      <c r="C285" s="11">
        <v>94562014</v>
      </c>
      <c r="D285" s="11">
        <v>0</v>
      </c>
    </row>
    <row r="286" spans="1:4" ht="23.25" customHeight="1">
      <c r="A286" s="22"/>
      <c r="B286" s="213" t="s">
        <v>540</v>
      </c>
      <c r="C286" s="10">
        <v>394902477</v>
      </c>
      <c r="D286" s="11">
        <v>0</v>
      </c>
    </row>
    <row r="287" spans="1:4" ht="23.25" customHeight="1">
      <c r="A287" s="22"/>
      <c r="B287" s="213" t="s">
        <v>541</v>
      </c>
      <c r="C287" s="11">
        <v>111136512</v>
      </c>
      <c r="D287" s="11">
        <v>0</v>
      </c>
    </row>
    <row r="288" spans="1:4" ht="23.25" customHeight="1">
      <c r="A288" s="22"/>
      <c r="B288" s="213" t="s">
        <v>438</v>
      </c>
      <c r="C288" s="11">
        <v>1117649146</v>
      </c>
      <c r="D288" s="11">
        <v>392205063</v>
      </c>
    </row>
    <row r="289" spans="1:10" ht="22.5" customHeight="1">
      <c r="A289" s="75"/>
      <c r="B289" s="16" t="s">
        <v>271</v>
      </c>
      <c r="C289" s="60">
        <f>SUM(C283:C288)</f>
        <v>1718250149</v>
      </c>
      <c r="D289" s="60">
        <f>SUM(D283:D288)</f>
        <v>403427063</v>
      </c>
    </row>
    <row r="290" spans="1:10" ht="20.25" customHeight="1">
      <c r="A290" s="253"/>
      <c r="B290" s="58"/>
      <c r="C290" s="254"/>
      <c r="D290" s="254"/>
      <c r="J290" s="338"/>
    </row>
    <row r="291" spans="1:10" ht="24" customHeight="1">
      <c r="A291" s="68" t="s">
        <v>508</v>
      </c>
      <c r="B291" s="7"/>
      <c r="C291" s="102" t="str">
        <f>C297</f>
        <v>Sè cuèi kú</v>
      </c>
      <c r="D291" s="102" t="str">
        <f>D297</f>
        <v>Sè ®Çu n¨m</v>
      </c>
    </row>
    <row r="292" spans="1:10" ht="22.5" customHeight="1">
      <c r="A292" s="212"/>
      <c r="B292" s="54" t="s">
        <v>439</v>
      </c>
      <c r="C292" s="113">
        <v>12794210980</v>
      </c>
      <c r="D292" s="113">
        <v>7767478405</v>
      </c>
    </row>
    <row r="293" spans="1:10" ht="22.5" customHeight="1">
      <c r="A293" s="336"/>
      <c r="B293" s="56" t="s">
        <v>646</v>
      </c>
      <c r="C293" s="28">
        <v>4938000000</v>
      </c>
      <c r="D293" s="28"/>
    </row>
    <row r="294" spans="1:10" ht="22.5" customHeight="1">
      <c r="A294" s="210"/>
      <c r="B294" s="211" t="s">
        <v>529</v>
      </c>
      <c r="C294" s="85">
        <v>10000000000</v>
      </c>
      <c r="D294" s="85">
        <v>0</v>
      </c>
      <c r="J294" s="337"/>
    </row>
    <row r="295" spans="1:10" ht="23.25" customHeight="1">
      <c r="A295" s="75"/>
      <c r="B295" s="16" t="s">
        <v>271</v>
      </c>
      <c r="C295" s="60">
        <f>SUM(C292:C294)</f>
        <v>27732210980</v>
      </c>
      <c r="D295" s="60">
        <f>SUM(D292:D294)</f>
        <v>7767478405</v>
      </c>
    </row>
    <row r="296" spans="1:10" ht="12.75" customHeight="1">
      <c r="A296" s="7"/>
      <c r="B296" s="23"/>
      <c r="C296" s="24"/>
      <c r="D296" s="24"/>
    </row>
    <row r="297" spans="1:10" ht="25.5" customHeight="1">
      <c r="A297" s="68" t="s">
        <v>509</v>
      </c>
      <c r="B297" s="69"/>
      <c r="C297" s="16" t="str">
        <f>C263</f>
        <v>Sè cuèi kú</v>
      </c>
      <c r="D297" s="16" t="str">
        <f>D263</f>
        <v>Sè ®Çu n¨m</v>
      </c>
    </row>
    <row r="298" spans="1:10" ht="24" customHeight="1">
      <c r="A298" s="63"/>
      <c r="B298" s="64" t="s">
        <v>499</v>
      </c>
      <c r="C298" s="11">
        <v>27933659</v>
      </c>
      <c r="D298" s="10">
        <v>196496484</v>
      </c>
    </row>
    <row r="299" spans="1:10" ht="24" customHeight="1">
      <c r="A299" s="63"/>
      <c r="B299" s="64" t="s">
        <v>613</v>
      </c>
      <c r="C299" s="11">
        <v>9086521</v>
      </c>
      <c r="D299" s="10">
        <v>0</v>
      </c>
    </row>
    <row r="300" spans="1:10" ht="24" customHeight="1">
      <c r="A300" s="55"/>
      <c r="B300" s="56" t="s">
        <v>0</v>
      </c>
      <c r="C300" s="261">
        <v>626879968</v>
      </c>
      <c r="D300" s="11">
        <v>433320351</v>
      </c>
    </row>
    <row r="301" spans="1:10" ht="24" customHeight="1">
      <c r="A301" s="55"/>
      <c r="B301" s="56" t="s">
        <v>1</v>
      </c>
      <c r="C301" s="11">
        <v>107992842</v>
      </c>
      <c r="D301" s="11">
        <v>35325651</v>
      </c>
    </row>
    <row r="302" spans="1:10" ht="24.75" customHeight="1">
      <c r="A302" s="75"/>
      <c r="B302" s="16" t="s">
        <v>271</v>
      </c>
      <c r="C302" s="76">
        <f>SUM(C298:C301)</f>
        <v>771892990</v>
      </c>
      <c r="D302" s="76">
        <f>SUM(D298:D301)</f>
        <v>665142486</v>
      </c>
    </row>
    <row r="303" spans="1:10" ht="12.75" customHeight="1">
      <c r="A303" s="253"/>
      <c r="B303" s="58"/>
      <c r="C303" s="254"/>
      <c r="D303" s="254"/>
    </row>
    <row r="304" spans="1:10" ht="23.25" customHeight="1">
      <c r="A304" s="68" t="s">
        <v>510</v>
      </c>
      <c r="B304" s="69"/>
      <c r="C304" s="99" t="str">
        <f>C297</f>
        <v>Sè cuèi kú</v>
      </c>
      <c r="D304" s="99" t="str">
        <f>D297</f>
        <v>Sè ®Çu n¨m</v>
      </c>
    </row>
    <row r="305" spans="1:4" ht="22.5" customHeight="1">
      <c r="A305" s="55"/>
      <c r="B305" s="56" t="s">
        <v>415</v>
      </c>
      <c r="C305" s="28">
        <v>3070875500</v>
      </c>
      <c r="D305" s="28">
        <v>3070875500</v>
      </c>
    </row>
    <row r="306" spans="1:4" ht="22.5" customHeight="1">
      <c r="A306" s="55"/>
      <c r="B306" s="56" t="s">
        <v>644</v>
      </c>
      <c r="C306" s="28">
        <v>99806962</v>
      </c>
      <c r="D306" s="28">
        <v>45743089</v>
      </c>
    </row>
    <row r="307" spans="1:4" ht="22.5" customHeight="1">
      <c r="A307" s="55"/>
      <c r="B307" s="56" t="s">
        <v>500</v>
      </c>
      <c r="C307" s="28">
        <v>0</v>
      </c>
      <c r="D307" s="28">
        <v>33419591</v>
      </c>
    </row>
    <row r="308" spans="1:4" ht="22.5" customHeight="1">
      <c r="A308" s="55"/>
      <c r="B308" s="56" t="s">
        <v>501</v>
      </c>
      <c r="C308" s="28">
        <v>0</v>
      </c>
      <c r="D308" s="28">
        <v>67755000</v>
      </c>
    </row>
    <row r="309" spans="1:4" ht="22.5" customHeight="1">
      <c r="A309" s="55"/>
      <c r="B309" s="56" t="s">
        <v>615</v>
      </c>
      <c r="C309" s="28">
        <v>0</v>
      </c>
      <c r="D309" s="28">
        <v>45000000</v>
      </c>
    </row>
    <row r="310" spans="1:4" ht="22.5" customHeight="1">
      <c r="A310" s="72"/>
      <c r="B310" s="56" t="s">
        <v>616</v>
      </c>
      <c r="C310" s="293">
        <v>60000000</v>
      </c>
      <c r="D310" s="293">
        <v>0</v>
      </c>
    </row>
    <row r="311" spans="1:4" ht="22.5" customHeight="1">
      <c r="A311" s="72"/>
      <c r="B311" s="56" t="s">
        <v>614</v>
      </c>
      <c r="C311" s="293">
        <v>6000000</v>
      </c>
      <c r="D311" s="293">
        <v>0</v>
      </c>
    </row>
    <row r="312" spans="1:4" ht="22.5" customHeight="1">
      <c r="A312" s="72"/>
      <c r="B312" s="73" t="s">
        <v>643</v>
      </c>
      <c r="C312" s="293">
        <v>75000000</v>
      </c>
      <c r="D312" s="293">
        <v>0</v>
      </c>
    </row>
    <row r="313" spans="1:4" ht="22.5" customHeight="1">
      <c r="A313" s="75"/>
      <c r="B313" s="16" t="s">
        <v>271</v>
      </c>
      <c r="C313" s="60">
        <f>SUM(C305:C312)</f>
        <v>3311682462</v>
      </c>
      <c r="D313" s="60">
        <f>SUM(D305:D312)</f>
        <v>3262793180</v>
      </c>
    </row>
    <row r="314" spans="1:4" ht="17.25" customHeight="1">
      <c r="A314" s="253"/>
      <c r="B314" s="58"/>
      <c r="C314" s="254"/>
      <c r="D314" s="254"/>
    </row>
    <row r="315" spans="1:4" ht="25.5" customHeight="1">
      <c r="A315" s="100" t="s">
        <v>511</v>
      </c>
      <c r="B315" s="101"/>
      <c r="C315" s="102" t="str">
        <f>C304</f>
        <v>Sè cuèi kú</v>
      </c>
      <c r="D315" s="102" t="str">
        <f>D304</f>
        <v>Sè ®Çu n¨m</v>
      </c>
    </row>
    <row r="316" spans="1:4" ht="19.5" customHeight="1">
      <c r="A316" s="53"/>
      <c r="B316" s="54" t="s">
        <v>334</v>
      </c>
      <c r="C316" s="70">
        <v>35600000</v>
      </c>
      <c r="D316" s="70">
        <v>15600000</v>
      </c>
    </row>
    <row r="317" spans="1:4" ht="19.5" customHeight="1">
      <c r="A317" s="55"/>
      <c r="B317" s="56" t="s">
        <v>335</v>
      </c>
      <c r="C317" s="11">
        <v>88408180</v>
      </c>
      <c r="D317" s="11">
        <v>114463480</v>
      </c>
    </row>
    <row r="318" spans="1:4" ht="24" customHeight="1">
      <c r="A318" s="55"/>
      <c r="B318" s="56" t="s">
        <v>47</v>
      </c>
      <c r="C318" s="11"/>
      <c r="D318" s="11">
        <v>0</v>
      </c>
    </row>
    <row r="319" spans="1:4" ht="24" customHeight="1">
      <c r="A319" s="55"/>
      <c r="B319" s="56" t="s">
        <v>502</v>
      </c>
      <c r="C319" s="14"/>
      <c r="D319" s="14">
        <v>0</v>
      </c>
    </row>
    <row r="320" spans="1:4" ht="24" customHeight="1">
      <c r="A320" s="55"/>
      <c r="B320" s="56" t="s">
        <v>503</v>
      </c>
      <c r="C320" s="14">
        <v>0</v>
      </c>
      <c r="D320" s="14">
        <v>0</v>
      </c>
    </row>
    <row r="321" spans="1:4" ht="24" customHeight="1">
      <c r="A321" s="55"/>
      <c r="B321" s="56" t="s">
        <v>645</v>
      </c>
      <c r="C321" s="11">
        <v>1700000</v>
      </c>
      <c r="D321" s="14">
        <v>0</v>
      </c>
    </row>
    <row r="322" spans="1:4" ht="21.75" customHeight="1">
      <c r="A322" s="55"/>
      <c r="B322" s="56" t="s">
        <v>336</v>
      </c>
      <c r="C322" s="11">
        <v>47785398</v>
      </c>
      <c r="D322" s="11">
        <v>36483497</v>
      </c>
    </row>
    <row r="323" spans="1:4" ht="21.75" customHeight="1">
      <c r="A323" s="55"/>
      <c r="B323" s="11" t="s">
        <v>620</v>
      </c>
      <c r="C323" s="11">
        <v>934000</v>
      </c>
      <c r="D323" s="11">
        <v>0</v>
      </c>
    </row>
    <row r="324" spans="1:4" ht="21.75" customHeight="1">
      <c r="A324" s="65"/>
      <c r="B324" s="66" t="s">
        <v>504</v>
      </c>
      <c r="C324" s="67">
        <v>1090300</v>
      </c>
      <c r="D324" s="67">
        <v>19944530</v>
      </c>
    </row>
    <row r="325" spans="1:4" ht="18" customHeight="1">
      <c r="A325" s="75"/>
      <c r="B325" s="16" t="s">
        <v>271</v>
      </c>
      <c r="C325" s="76">
        <f>SUM(C316:C324)</f>
        <v>175517878</v>
      </c>
      <c r="D325" s="76">
        <f>SUM(D316:D324)</f>
        <v>186491507</v>
      </c>
    </row>
    <row r="326" spans="1:4" ht="21" customHeight="1">
      <c r="A326" s="81" t="s">
        <v>512</v>
      </c>
      <c r="B326" s="7"/>
      <c r="C326" s="23"/>
      <c r="D326" s="23"/>
    </row>
    <row r="327" spans="1:4" ht="10.5" customHeight="1">
      <c r="A327" s="81"/>
      <c r="B327" s="7"/>
      <c r="C327" s="23"/>
      <c r="D327" s="23"/>
    </row>
    <row r="328" spans="1:4" ht="21.75" customHeight="1">
      <c r="A328" s="68" t="s">
        <v>513</v>
      </c>
      <c r="B328" s="69"/>
      <c r="C328" s="16" t="str">
        <f>C315</f>
        <v>Sè cuèi kú</v>
      </c>
      <c r="D328" s="16" t="str">
        <f>D315</f>
        <v>Sè ®Çu n¨m</v>
      </c>
    </row>
    <row r="329" spans="1:4" ht="21.75" customHeight="1">
      <c r="A329" s="53" t="s">
        <v>673</v>
      </c>
      <c r="B329" s="70"/>
      <c r="C329" s="70">
        <f>C330</f>
        <v>6594991410</v>
      </c>
      <c r="D329" s="70">
        <v>0</v>
      </c>
    </row>
    <row r="330" spans="1:4" ht="21.75" customHeight="1">
      <c r="A330" s="55"/>
      <c r="B330" s="103" t="s">
        <v>672</v>
      </c>
      <c r="C330" s="13">
        <v>6594991410</v>
      </c>
      <c r="D330" s="13">
        <v>0</v>
      </c>
    </row>
    <row r="331" spans="1:4" ht="21.75" customHeight="1">
      <c r="A331" s="55" t="s">
        <v>674</v>
      </c>
      <c r="B331" s="11"/>
      <c r="C331" s="11">
        <f>SUM(C332:C334)</f>
        <v>500000000</v>
      </c>
      <c r="D331" s="11">
        <f>SUM(D332:D334)</f>
        <v>1914560398</v>
      </c>
    </row>
    <row r="332" spans="1:4" ht="21.75" customHeight="1">
      <c r="A332" s="72"/>
      <c r="B332" s="104" t="s">
        <v>337</v>
      </c>
      <c r="C332" s="36">
        <v>0</v>
      </c>
      <c r="D332" s="36">
        <v>49885000</v>
      </c>
    </row>
    <row r="333" spans="1:4" ht="21.75" customHeight="1">
      <c r="A333" s="72"/>
      <c r="B333" s="104" t="s">
        <v>444</v>
      </c>
      <c r="C333" s="36">
        <v>500000000</v>
      </c>
      <c r="D333" s="36">
        <v>1500000000</v>
      </c>
    </row>
    <row r="334" spans="1:4" ht="21.75" customHeight="1">
      <c r="A334" s="72"/>
      <c r="B334" s="104" t="s">
        <v>401</v>
      </c>
      <c r="C334" s="36"/>
      <c r="D334" s="36">
        <v>364675398</v>
      </c>
    </row>
    <row r="335" spans="1:4" ht="21" customHeight="1">
      <c r="A335" s="75"/>
      <c r="B335" s="16" t="s">
        <v>271</v>
      </c>
      <c r="C335" s="76">
        <f>C329+C331</f>
        <v>7094991410</v>
      </c>
      <c r="D335" s="76">
        <f>D329+D331</f>
        <v>1914560398</v>
      </c>
    </row>
    <row r="336" spans="1:4" ht="27.75" customHeight="1">
      <c r="A336" s="39" t="s">
        <v>514</v>
      </c>
    </row>
    <row r="337" spans="1:12" ht="22.5" customHeight="1">
      <c r="A337" s="6" t="s">
        <v>338</v>
      </c>
    </row>
    <row r="338" spans="1:12" ht="9" customHeight="1">
      <c r="A338" s="6"/>
    </row>
    <row r="339" spans="1:12" s="1" customFormat="1" ht="15.75">
      <c r="A339" s="83"/>
      <c r="B339" s="83" t="s">
        <v>339</v>
      </c>
      <c r="C339" s="83" t="s">
        <v>340</v>
      </c>
      <c r="D339" s="83" t="s">
        <v>341</v>
      </c>
      <c r="E339" s="83" t="s">
        <v>602</v>
      </c>
      <c r="F339" s="83" t="s">
        <v>342</v>
      </c>
      <c r="G339" s="83" t="s">
        <v>342</v>
      </c>
      <c r="H339" s="83"/>
      <c r="I339" s="105" t="s">
        <v>164</v>
      </c>
      <c r="J339" s="83"/>
    </row>
    <row r="340" spans="1:12" s="1" customFormat="1" ht="15.75">
      <c r="A340" s="84" t="s">
        <v>290</v>
      </c>
      <c r="B340" s="84" t="s">
        <v>343</v>
      </c>
      <c r="C340" s="84" t="s">
        <v>344</v>
      </c>
      <c r="D340" s="84" t="s">
        <v>345</v>
      </c>
      <c r="E340" s="84" t="s">
        <v>603</v>
      </c>
      <c r="F340" s="84" t="s">
        <v>346</v>
      </c>
      <c r="G340" s="84" t="s">
        <v>347</v>
      </c>
      <c r="H340" s="84" t="s">
        <v>348</v>
      </c>
      <c r="I340" s="106" t="s">
        <v>349</v>
      </c>
      <c r="J340" s="84" t="s">
        <v>271</v>
      </c>
    </row>
    <row r="341" spans="1:12" s="1" customFormat="1" ht="15.75">
      <c r="A341" s="18"/>
      <c r="B341" s="18" t="s">
        <v>350</v>
      </c>
      <c r="C341" s="18" t="s">
        <v>351</v>
      </c>
      <c r="D341" s="18" t="s">
        <v>350</v>
      </c>
      <c r="E341" s="18" t="s">
        <v>604</v>
      </c>
      <c r="F341" s="18" t="s">
        <v>352</v>
      </c>
      <c r="G341" s="18" t="s">
        <v>353</v>
      </c>
      <c r="H341" s="18"/>
      <c r="I341" s="107" t="s">
        <v>354</v>
      </c>
      <c r="J341" s="18"/>
    </row>
    <row r="342" spans="1:12" s="1" customFormat="1" ht="21.75" customHeight="1">
      <c r="A342" s="15" t="s">
        <v>355</v>
      </c>
      <c r="B342" s="15">
        <v>1</v>
      </c>
      <c r="C342" s="15">
        <v>2</v>
      </c>
      <c r="D342" s="15">
        <v>3</v>
      </c>
      <c r="E342" s="15">
        <v>4</v>
      </c>
      <c r="F342" s="15">
        <v>5</v>
      </c>
      <c r="G342" s="15">
        <v>6</v>
      </c>
      <c r="H342" s="15">
        <v>7</v>
      </c>
      <c r="I342" s="15">
        <v>8</v>
      </c>
      <c r="J342" s="15">
        <v>9</v>
      </c>
    </row>
    <row r="343" spans="1:12" ht="27" customHeight="1">
      <c r="A343" s="60" t="s">
        <v>48</v>
      </c>
      <c r="B343" s="60">
        <v>17143300000</v>
      </c>
      <c r="C343" s="60"/>
      <c r="D343" s="60">
        <v>13850228634</v>
      </c>
      <c r="E343" s="60"/>
      <c r="F343" s="60"/>
      <c r="G343" s="60"/>
      <c r="H343" s="60"/>
      <c r="I343" s="60"/>
      <c r="J343" s="60">
        <f t="shared" ref="J343:J348" si="6">SUM(B343:I343)</f>
        <v>30993528634</v>
      </c>
    </row>
    <row r="344" spans="1:12" ht="26.25" customHeight="1">
      <c r="A344" s="112" t="s">
        <v>356</v>
      </c>
      <c r="B344" s="297">
        <v>10443500000</v>
      </c>
      <c r="C344" s="297">
        <v>4121612131</v>
      </c>
      <c r="D344" s="297"/>
      <c r="E344" s="297"/>
      <c r="F344" s="297"/>
      <c r="G344" s="297"/>
      <c r="H344" s="297"/>
      <c r="I344" s="297"/>
      <c r="J344" s="298">
        <f t="shared" si="6"/>
        <v>14565112131</v>
      </c>
    </row>
    <row r="345" spans="1:12" ht="26.25" customHeight="1">
      <c r="A345" s="31" t="s">
        <v>357</v>
      </c>
      <c r="B345" s="30"/>
      <c r="C345" s="30"/>
      <c r="D345" s="30">
        <v>7877054201</v>
      </c>
      <c r="E345" s="30"/>
      <c r="F345" s="30"/>
      <c r="G345" s="30"/>
      <c r="H345" s="30"/>
      <c r="I345" s="30"/>
      <c r="J345" s="90">
        <f t="shared" si="6"/>
        <v>7877054201</v>
      </c>
    </row>
    <row r="346" spans="1:12" ht="26.25" customHeight="1">
      <c r="A346" s="31" t="s">
        <v>358</v>
      </c>
      <c r="B346" s="244"/>
      <c r="C346" s="30"/>
      <c r="D346" s="40"/>
      <c r="E346" s="30"/>
      <c r="F346" s="30"/>
      <c r="G346" s="30"/>
      <c r="H346" s="30"/>
      <c r="I346" s="30"/>
      <c r="J346" s="245">
        <f t="shared" si="6"/>
        <v>0</v>
      </c>
    </row>
    <row r="347" spans="1:12" ht="26.25" customHeight="1">
      <c r="A347" s="109" t="s">
        <v>359</v>
      </c>
      <c r="B347" s="30"/>
      <c r="C347" s="30"/>
      <c r="D347" s="30"/>
      <c r="E347" s="30"/>
      <c r="F347" s="30"/>
      <c r="G347" s="30"/>
      <c r="H347" s="30"/>
      <c r="I347" s="30"/>
      <c r="J347" s="90">
        <f t="shared" si="6"/>
        <v>0</v>
      </c>
    </row>
    <row r="348" spans="1:12" ht="26.25" customHeight="1">
      <c r="A348" s="110" t="s">
        <v>303</v>
      </c>
      <c r="B348" s="30"/>
      <c r="C348" s="30"/>
      <c r="D348" s="244">
        <v>-807141376</v>
      </c>
      <c r="E348" s="30"/>
      <c r="F348" s="30"/>
      <c r="G348" s="299"/>
      <c r="H348" s="30"/>
      <c r="I348" s="30"/>
      <c r="J348" s="300">
        <f t="shared" si="6"/>
        <v>-807141376</v>
      </c>
    </row>
    <row r="349" spans="1:12" ht="27" customHeight="1">
      <c r="A349" s="111" t="s">
        <v>49</v>
      </c>
      <c r="B349" s="111">
        <f>SUM(B343:B348)</f>
        <v>27586800000</v>
      </c>
      <c r="C349" s="111">
        <f t="shared" ref="C349:J349" si="7">SUM(C343:C348)</f>
        <v>4121612131</v>
      </c>
      <c r="D349" s="111">
        <f t="shared" si="7"/>
        <v>20920141459</v>
      </c>
      <c r="E349" s="111">
        <v>0</v>
      </c>
      <c r="F349" s="111">
        <f t="shared" si="7"/>
        <v>0</v>
      </c>
      <c r="G349" s="111">
        <f t="shared" si="7"/>
        <v>0</v>
      </c>
      <c r="H349" s="111">
        <f t="shared" si="7"/>
        <v>0</v>
      </c>
      <c r="I349" s="111">
        <f t="shared" si="7"/>
        <v>0</v>
      </c>
      <c r="J349" s="111">
        <f t="shared" si="7"/>
        <v>52628553590</v>
      </c>
      <c r="L349" s="2">
        <f>SUM(B349:I349)</f>
        <v>52628553590</v>
      </c>
    </row>
    <row r="350" spans="1:12" ht="27" customHeight="1">
      <c r="A350" s="60" t="s">
        <v>50</v>
      </c>
      <c r="B350" s="111">
        <f>B349</f>
        <v>27586800000</v>
      </c>
      <c r="C350" s="111">
        <f>C349</f>
        <v>4121612131</v>
      </c>
      <c r="D350" s="111">
        <f>D349</f>
        <v>20920141459</v>
      </c>
      <c r="E350" s="111">
        <v>0</v>
      </c>
      <c r="F350" s="111">
        <f>SUM(F344:F346)-SUM(F347:F349)</f>
        <v>0</v>
      </c>
      <c r="G350" s="111">
        <f>SUM(G344:G349)</f>
        <v>0</v>
      </c>
      <c r="H350" s="111">
        <f>SUM(H344:H349)</f>
        <v>0</v>
      </c>
      <c r="I350" s="111">
        <f>SUM(I344:I349)</f>
        <v>0</v>
      </c>
      <c r="J350" s="60">
        <f>J349</f>
        <v>52628553590</v>
      </c>
    </row>
    <row r="351" spans="1:12" ht="24.75" customHeight="1">
      <c r="A351" s="112" t="s">
        <v>360</v>
      </c>
      <c r="B351" s="297"/>
      <c r="C351" s="297"/>
      <c r="D351" s="297"/>
      <c r="E351" s="297"/>
      <c r="F351" s="297"/>
      <c r="G351" s="297"/>
      <c r="H351" s="297"/>
      <c r="I351" s="297"/>
      <c r="J351" s="298">
        <f t="shared" ref="J351:J357" si="8">SUM(B351:I351)</f>
        <v>0</v>
      </c>
    </row>
    <row r="352" spans="1:12" ht="24.75" customHeight="1">
      <c r="A352" s="31" t="s">
        <v>361</v>
      </c>
      <c r="B352" s="30"/>
      <c r="C352" s="30"/>
      <c r="D352" s="30">
        <v>7848246137</v>
      </c>
      <c r="E352" s="30"/>
      <c r="F352" s="30"/>
      <c r="G352" s="30"/>
      <c r="H352" s="30"/>
      <c r="I352" s="30"/>
      <c r="J352" s="90">
        <f t="shared" si="8"/>
        <v>7848246137</v>
      </c>
    </row>
    <row r="353" spans="1:10" ht="24.75" customHeight="1">
      <c r="A353" s="31" t="s">
        <v>300</v>
      </c>
      <c r="B353" s="30"/>
      <c r="C353" s="30"/>
      <c r="D353" s="44">
        <v>800000000</v>
      </c>
      <c r="E353" s="30"/>
      <c r="F353" s="30"/>
      <c r="G353" s="30"/>
      <c r="H353" s="30"/>
      <c r="I353" s="30"/>
      <c r="J353" s="90">
        <f t="shared" si="8"/>
        <v>800000000</v>
      </c>
    </row>
    <row r="354" spans="1:10" ht="24.75" customHeight="1">
      <c r="A354" s="31" t="s">
        <v>362</v>
      </c>
      <c r="B354" s="244"/>
      <c r="C354" s="30"/>
      <c r="D354" s="30"/>
      <c r="E354" s="30"/>
      <c r="F354" s="30"/>
      <c r="G354" s="30"/>
      <c r="H354" s="30"/>
      <c r="I354" s="30"/>
      <c r="J354" s="90">
        <f t="shared" si="8"/>
        <v>0</v>
      </c>
    </row>
    <row r="355" spans="1:10" ht="24.75" customHeight="1">
      <c r="A355" s="109" t="s">
        <v>363</v>
      </c>
      <c r="B355" s="30"/>
      <c r="C355" s="30"/>
      <c r="D355" s="30"/>
      <c r="E355" s="30"/>
      <c r="F355" s="30"/>
      <c r="G355" s="30"/>
      <c r="H355" s="30"/>
      <c r="I355" s="30"/>
      <c r="J355" s="90">
        <f t="shared" si="8"/>
        <v>0</v>
      </c>
    </row>
    <row r="356" spans="1:10" ht="24.75" customHeight="1">
      <c r="A356" s="110" t="s">
        <v>303</v>
      </c>
      <c r="B356" s="30"/>
      <c r="C356" s="30"/>
      <c r="D356" s="244">
        <f>-12151916000-1700000</f>
        <v>-12153616000</v>
      </c>
      <c r="E356" s="30"/>
      <c r="F356" s="30"/>
      <c r="G356" s="299"/>
      <c r="H356" s="30"/>
      <c r="I356" s="30"/>
      <c r="J356" s="245">
        <f t="shared" si="8"/>
        <v>-12153616000</v>
      </c>
    </row>
    <row r="357" spans="1:10" ht="26.25" customHeight="1">
      <c r="A357" s="60" t="s">
        <v>51</v>
      </c>
      <c r="B357" s="60">
        <f>SUM(B350:B356)</f>
        <v>27586800000</v>
      </c>
      <c r="C357" s="60">
        <f>C350</f>
        <v>4121612131</v>
      </c>
      <c r="D357" s="60">
        <f t="shared" ref="D357:I357" si="9">SUM(D350:D356)</f>
        <v>17414771596</v>
      </c>
      <c r="E357" s="60">
        <v>0</v>
      </c>
      <c r="F357" s="59">
        <f t="shared" si="9"/>
        <v>0</v>
      </c>
      <c r="G357" s="141">
        <f t="shared" si="9"/>
        <v>0</v>
      </c>
      <c r="H357" s="76">
        <f t="shared" si="9"/>
        <v>0</v>
      </c>
      <c r="I357" s="60">
        <f t="shared" si="9"/>
        <v>0</v>
      </c>
      <c r="J357" s="60">
        <f t="shared" si="8"/>
        <v>49123183727</v>
      </c>
    </row>
    <row r="358" spans="1:10" ht="13.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</row>
    <row r="359" spans="1:10" ht="24.75" customHeight="1">
      <c r="A359" s="60" t="s">
        <v>365</v>
      </c>
      <c r="B359" s="137"/>
      <c r="C359" s="16" t="s">
        <v>414</v>
      </c>
      <c r="D359" s="16" t="s">
        <v>364</v>
      </c>
      <c r="E359" s="24"/>
      <c r="F359" s="24"/>
      <c r="G359" s="24"/>
      <c r="H359" s="24"/>
      <c r="I359" s="24"/>
      <c r="J359" s="24"/>
    </row>
    <row r="360" spans="1:10" ht="24.75" customHeight="1">
      <c r="A360" s="215"/>
      <c r="B360" s="112" t="s">
        <v>366</v>
      </c>
      <c r="C360" s="10">
        <v>10105505854</v>
      </c>
      <c r="D360" s="10">
        <v>9305505854</v>
      </c>
      <c r="E360" s="24"/>
      <c r="F360" s="24"/>
      <c r="G360" s="24"/>
      <c r="H360" s="24"/>
      <c r="I360" s="24"/>
      <c r="J360" s="24"/>
    </row>
    <row r="361" spans="1:10" ht="24" customHeight="1">
      <c r="A361" s="216"/>
      <c r="B361" s="31" t="s">
        <v>367</v>
      </c>
      <c r="C361" s="12">
        <v>650000000</v>
      </c>
      <c r="D361" s="12">
        <v>650000000</v>
      </c>
      <c r="E361" s="24"/>
      <c r="F361" s="24"/>
      <c r="G361" s="24"/>
      <c r="H361" s="24"/>
      <c r="I361" s="24"/>
      <c r="J361" s="24"/>
    </row>
    <row r="362" spans="1:10" ht="24.75" customHeight="1">
      <c r="A362" s="147"/>
      <c r="B362" s="16" t="s">
        <v>271</v>
      </c>
      <c r="C362" s="76">
        <f>SUM(C360:C361)</f>
        <v>10755505854</v>
      </c>
      <c r="D362" s="76">
        <f>SUM(D360:D361)</f>
        <v>9955505854</v>
      </c>
      <c r="E362" s="24"/>
      <c r="F362" s="24"/>
      <c r="G362" s="24"/>
      <c r="H362" s="24"/>
      <c r="I362" s="24"/>
      <c r="J362" s="24"/>
    </row>
    <row r="363" spans="1:10" ht="25.5" customHeight="1">
      <c r="A363" s="39" t="s">
        <v>515</v>
      </c>
      <c r="B363" s="39"/>
      <c r="C363" s="39"/>
    </row>
    <row r="364" spans="1:10" ht="27" customHeight="1">
      <c r="A364" s="39" t="s">
        <v>516</v>
      </c>
      <c r="B364" s="39"/>
      <c r="C364" s="39"/>
    </row>
    <row r="365" spans="1:10" ht="24.75" customHeight="1">
      <c r="A365" s="39" t="s">
        <v>368</v>
      </c>
      <c r="B365" s="39"/>
      <c r="C365" s="39"/>
    </row>
    <row r="366" spans="1:10" ht="16.5" customHeight="1">
      <c r="A366" s="39"/>
      <c r="B366" s="39"/>
      <c r="C366" s="39"/>
    </row>
    <row r="367" spans="1:10" ht="24.75" customHeight="1">
      <c r="A367" s="68"/>
      <c r="B367" s="16" t="s">
        <v>290</v>
      </c>
      <c r="C367" s="16" t="s">
        <v>52</v>
      </c>
      <c r="D367" s="115" t="s">
        <v>210</v>
      </c>
      <c r="E367" s="23"/>
    </row>
    <row r="368" spans="1:10" ht="24" customHeight="1">
      <c r="A368" s="116" t="s">
        <v>517</v>
      </c>
      <c r="B368" s="11"/>
      <c r="C368" s="21">
        <f>SUM(C369:C371)</f>
        <v>44791591402</v>
      </c>
      <c r="D368" s="21">
        <f>SUM(D369:D371)</f>
        <v>176228366398</v>
      </c>
      <c r="E368" s="81"/>
    </row>
    <row r="369" spans="1:6" ht="24" customHeight="1">
      <c r="A369" s="55"/>
      <c r="B369" s="56" t="s">
        <v>369</v>
      </c>
      <c r="C369" s="11">
        <v>9069710881</v>
      </c>
      <c r="D369" s="11">
        <v>35448617188</v>
      </c>
      <c r="E369" s="44"/>
    </row>
    <row r="370" spans="1:6" ht="24" customHeight="1">
      <c r="A370" s="55"/>
      <c r="B370" s="56" t="s">
        <v>370</v>
      </c>
      <c r="C370" s="11">
        <f>34006927082</f>
        <v>34006927082</v>
      </c>
      <c r="D370" s="11">
        <f>135871226778-20436000</f>
        <v>135850790778</v>
      </c>
      <c r="E370" s="44"/>
    </row>
    <row r="371" spans="1:6" ht="24" customHeight="1">
      <c r="A371" s="55"/>
      <c r="B371" s="56" t="s">
        <v>371</v>
      </c>
      <c r="C371" s="11">
        <v>1714953439</v>
      </c>
      <c r="D371" s="11">
        <v>4928958432</v>
      </c>
      <c r="E371" s="44"/>
    </row>
    <row r="372" spans="1:6" ht="24" customHeight="1">
      <c r="A372" s="116" t="s">
        <v>518</v>
      </c>
      <c r="B372" s="21"/>
      <c r="C372" s="21">
        <f>SUM(C373:C373)</f>
        <v>20436000</v>
      </c>
      <c r="D372" s="21">
        <f>SUM(D373)</f>
        <v>61242909</v>
      </c>
      <c r="E372" s="81"/>
    </row>
    <row r="373" spans="1:6" ht="24" customHeight="1">
      <c r="A373" s="55"/>
      <c r="B373" s="56" t="s">
        <v>372</v>
      </c>
      <c r="C373" s="11">
        <v>20436000</v>
      </c>
      <c r="D373" s="11">
        <v>61242909</v>
      </c>
      <c r="E373" s="44"/>
    </row>
    <row r="374" spans="1:6" ht="24" customHeight="1">
      <c r="A374" s="116" t="s">
        <v>519</v>
      </c>
      <c r="B374" s="21"/>
      <c r="C374" s="21">
        <f>SUM(C375:C377)</f>
        <v>44771155402</v>
      </c>
      <c r="D374" s="21">
        <f>SUM(D375:D377)</f>
        <v>176167123489</v>
      </c>
      <c r="E374" s="81"/>
    </row>
    <row r="375" spans="1:6" ht="25.5" customHeight="1">
      <c r="A375" s="55" t="s">
        <v>373</v>
      </c>
      <c r="B375" s="11"/>
      <c r="C375" s="11">
        <f>C369</f>
        <v>9069710881</v>
      </c>
      <c r="D375" s="11">
        <v>35448617188</v>
      </c>
      <c r="E375" s="44"/>
    </row>
    <row r="376" spans="1:6" ht="25.5" customHeight="1">
      <c r="A376" s="55"/>
      <c r="B376" s="56" t="s">
        <v>374</v>
      </c>
      <c r="C376" s="11">
        <f>C370-C373</f>
        <v>33986491082</v>
      </c>
      <c r="D376" s="11">
        <f>135809983869-20436000</f>
        <v>135789547869</v>
      </c>
      <c r="E376" s="44"/>
    </row>
    <row r="377" spans="1:6" ht="25.5" customHeight="1">
      <c r="A377" s="55"/>
      <c r="B377" s="56" t="s">
        <v>375</v>
      </c>
      <c r="C377" s="11">
        <f>C371</f>
        <v>1714953439</v>
      </c>
      <c r="D377" s="11">
        <v>4928958432</v>
      </c>
      <c r="E377" s="44"/>
    </row>
    <row r="378" spans="1:6" ht="24" customHeight="1">
      <c r="A378" s="116" t="s">
        <v>520</v>
      </c>
      <c r="B378" s="117"/>
      <c r="C378" s="21">
        <f>SUM(C379:C382)</f>
        <v>33744916686</v>
      </c>
      <c r="D378" s="21">
        <f>SUM(D379:D382)</f>
        <v>137829996370</v>
      </c>
      <c r="E378" s="44"/>
      <c r="F378" s="44"/>
    </row>
    <row r="379" spans="1:6" ht="24" customHeight="1">
      <c r="A379" s="118"/>
      <c r="B379" s="56" t="s">
        <v>376</v>
      </c>
      <c r="C379" s="11">
        <v>8637693232</v>
      </c>
      <c r="D379" s="11">
        <v>34802457600</v>
      </c>
      <c r="E379" s="44"/>
    </row>
    <row r="380" spans="1:6" ht="24" customHeight="1">
      <c r="A380" s="55"/>
      <c r="B380" s="56" t="s">
        <v>377</v>
      </c>
      <c r="C380" s="11">
        <f>24310562551-20436000</f>
        <v>24290126551</v>
      </c>
      <c r="D380" s="11">
        <f>101268705443-20436000</f>
        <v>101248269443</v>
      </c>
      <c r="E380" s="44"/>
    </row>
    <row r="381" spans="1:6" ht="24" customHeight="1">
      <c r="A381" s="55"/>
      <c r="B381" s="56" t="s">
        <v>404</v>
      </c>
      <c r="C381" s="11">
        <v>817096903</v>
      </c>
      <c r="D381" s="11">
        <f>1518556903+260712424</f>
        <v>1779269327</v>
      </c>
      <c r="E381" s="44"/>
    </row>
    <row r="382" spans="1:6" ht="24" customHeight="1">
      <c r="A382" s="80"/>
      <c r="B382" s="56" t="s">
        <v>282</v>
      </c>
      <c r="C382" s="11">
        <v>0</v>
      </c>
      <c r="D382" s="11">
        <v>0</v>
      </c>
      <c r="E382" s="44"/>
    </row>
    <row r="383" spans="1:6" ht="24" customHeight="1">
      <c r="A383" s="116" t="s">
        <v>521</v>
      </c>
      <c r="B383" s="21"/>
      <c r="C383" s="21">
        <f>SUM(C384:C385)</f>
        <v>266652094</v>
      </c>
      <c r="D383" s="21">
        <f>SUM(D384:D385)</f>
        <v>1482735754</v>
      </c>
      <c r="E383" s="24"/>
    </row>
    <row r="384" spans="1:6" ht="22.5" customHeight="1">
      <c r="A384" s="55"/>
      <c r="B384" s="56" t="s">
        <v>378</v>
      </c>
      <c r="C384" s="11">
        <f>1248+266607681+43165</f>
        <v>266652094</v>
      </c>
      <c r="D384" s="11">
        <f>128526291+824633825+43165</f>
        <v>953203281</v>
      </c>
      <c r="E384" s="44"/>
    </row>
    <row r="385" spans="1:10" ht="22.5" customHeight="1">
      <c r="A385" s="55"/>
      <c r="B385" s="56" t="s">
        <v>530</v>
      </c>
      <c r="C385" s="11">
        <v>0</v>
      </c>
      <c r="D385" s="11">
        <v>529532473</v>
      </c>
      <c r="E385" s="44"/>
    </row>
    <row r="386" spans="1:10" ht="22.5" customHeight="1">
      <c r="A386" s="119" t="s">
        <v>522</v>
      </c>
      <c r="B386" s="10"/>
      <c r="C386" s="19">
        <f>SUM(C387:C390)</f>
        <v>1174199955</v>
      </c>
      <c r="D386" s="19">
        <f>SUM(D387:D390)</f>
        <v>2617500814</v>
      </c>
      <c r="E386" s="24"/>
    </row>
    <row r="387" spans="1:10" ht="22.5" customHeight="1">
      <c r="A387" s="55"/>
      <c r="B387" s="56" t="s">
        <v>379</v>
      </c>
      <c r="C387" s="28">
        <v>1021161995</v>
      </c>
      <c r="D387" s="28">
        <v>2342558724</v>
      </c>
      <c r="E387" s="44"/>
    </row>
    <row r="388" spans="1:10" ht="22.5" customHeight="1">
      <c r="A388" s="72"/>
      <c r="B388" s="56" t="s">
        <v>585</v>
      </c>
      <c r="C388" s="293">
        <v>85780000</v>
      </c>
      <c r="D388" s="293">
        <v>174445890</v>
      </c>
      <c r="E388" s="44"/>
    </row>
    <row r="389" spans="1:10" ht="22.5" customHeight="1">
      <c r="A389" s="72"/>
      <c r="B389" s="56" t="s">
        <v>596</v>
      </c>
      <c r="C389" s="293">
        <v>1515960</v>
      </c>
      <c r="D389" s="293">
        <v>1640500</v>
      </c>
      <c r="E389" s="44"/>
    </row>
    <row r="390" spans="1:10" ht="22.5" customHeight="1">
      <c r="A390" s="65"/>
      <c r="B390" s="66" t="s">
        <v>531</v>
      </c>
      <c r="C390" s="32">
        <v>65742000</v>
      </c>
      <c r="D390" s="32">
        <v>98855700</v>
      </c>
      <c r="E390" s="44"/>
    </row>
    <row r="391" spans="1:10" ht="21.75" customHeight="1">
      <c r="A391" s="7"/>
      <c r="B391" s="114"/>
      <c r="C391" s="7"/>
      <c r="D391" s="7"/>
      <c r="E391" s="7"/>
    </row>
    <row r="392" spans="1:10" ht="20.25" customHeight="1">
      <c r="A392" s="75"/>
      <c r="B392" s="16" t="s">
        <v>290</v>
      </c>
      <c r="C392" s="16" t="s">
        <v>52</v>
      </c>
      <c r="D392" s="115" t="s">
        <v>210</v>
      </c>
      <c r="E392" s="7"/>
    </row>
    <row r="393" spans="1:10" ht="26.25" customHeight="1">
      <c r="A393" s="119" t="s">
        <v>523</v>
      </c>
      <c r="B393" s="10"/>
      <c r="C393" s="19">
        <f>SUM(C394:C400)</f>
        <v>3619096931</v>
      </c>
      <c r="D393" s="19">
        <f>SUM(D394:D400)</f>
        <v>11182707120</v>
      </c>
      <c r="E393" s="7"/>
      <c r="F393" s="205"/>
    </row>
    <row r="394" spans="1:10" s="205" customFormat="1" ht="26.25" customHeight="1">
      <c r="A394" s="203"/>
      <c r="B394" s="56" t="s">
        <v>380</v>
      </c>
      <c r="C394" s="11">
        <v>300752000</v>
      </c>
      <c r="D394" s="11">
        <v>1042392700</v>
      </c>
      <c r="E394" s="204"/>
      <c r="J394" s="295"/>
    </row>
    <row r="395" spans="1:10" s="205" customFormat="1" ht="26.25" customHeight="1">
      <c r="A395" s="206"/>
      <c r="B395" s="64" t="s">
        <v>381</v>
      </c>
      <c r="C395" s="11">
        <v>102183750</v>
      </c>
      <c r="D395" s="11">
        <v>408735000</v>
      </c>
      <c r="E395" s="204"/>
      <c r="J395" s="295"/>
    </row>
    <row r="396" spans="1:10" s="205" customFormat="1" ht="26.25" customHeight="1">
      <c r="A396" s="206"/>
      <c r="B396" s="64" t="s">
        <v>423</v>
      </c>
      <c r="C396" s="327">
        <v>118880150</v>
      </c>
      <c r="D396" s="11">
        <v>763351500</v>
      </c>
      <c r="E396" s="204"/>
      <c r="J396" s="295"/>
    </row>
    <row r="397" spans="1:10" s="205" customFormat="1" ht="26.25" customHeight="1">
      <c r="A397" s="206"/>
      <c r="B397" s="64" t="s">
        <v>426</v>
      </c>
      <c r="C397" s="11">
        <v>34549113</v>
      </c>
      <c r="D397" s="11">
        <v>268732183</v>
      </c>
      <c r="E397" s="204"/>
      <c r="J397" s="295"/>
    </row>
    <row r="398" spans="1:10" s="205" customFormat="1" ht="26.25" customHeight="1">
      <c r="A398" s="206"/>
      <c r="B398" s="64" t="s">
        <v>382</v>
      </c>
      <c r="C398" s="11">
        <v>652807272</v>
      </c>
      <c r="D398" s="11">
        <v>2022304825</v>
      </c>
      <c r="E398" s="204"/>
      <c r="J398" s="295"/>
    </row>
    <row r="399" spans="1:10" s="205" customFormat="1" ht="26.25" customHeight="1">
      <c r="A399" s="206"/>
      <c r="B399" s="64" t="s">
        <v>383</v>
      </c>
      <c r="C399" s="11">
        <v>1235231890</v>
      </c>
      <c r="D399" s="11">
        <v>3729424566</v>
      </c>
      <c r="E399" s="204"/>
      <c r="J399" s="295"/>
    </row>
    <row r="400" spans="1:10" s="205" customFormat="1" ht="26.25" customHeight="1">
      <c r="A400" s="206"/>
      <c r="B400" s="64" t="s">
        <v>384</v>
      </c>
      <c r="C400" s="11">
        <v>1174692756</v>
      </c>
      <c r="D400" s="11">
        <v>2947766346</v>
      </c>
      <c r="E400" s="204"/>
      <c r="J400" s="295"/>
    </row>
    <row r="401" spans="1:5" ht="26.25" customHeight="1">
      <c r="A401" s="119" t="s">
        <v>524</v>
      </c>
      <c r="B401" s="10"/>
      <c r="C401" s="19">
        <f>SUM(C402:C409)</f>
        <v>4547996540</v>
      </c>
      <c r="D401" s="19">
        <f>SUM(D402:D409)</f>
        <v>15480885298</v>
      </c>
      <c r="E401" s="204"/>
    </row>
    <row r="402" spans="1:5" ht="26.25" customHeight="1">
      <c r="A402" s="55"/>
      <c r="B402" s="56" t="s">
        <v>385</v>
      </c>
      <c r="C402" s="11">
        <v>2467699000</v>
      </c>
      <c r="D402" s="11">
        <v>8012363800</v>
      </c>
      <c r="E402" s="7"/>
    </row>
    <row r="403" spans="1:5" ht="26.25" customHeight="1">
      <c r="A403" s="63"/>
      <c r="B403" s="64" t="s">
        <v>386</v>
      </c>
      <c r="C403" s="28">
        <v>326191875</v>
      </c>
      <c r="D403" s="28">
        <v>1133410582</v>
      </c>
      <c r="E403" s="7"/>
    </row>
    <row r="404" spans="1:5" ht="26.25" customHeight="1">
      <c r="A404" s="63"/>
      <c r="B404" s="64" t="s">
        <v>387</v>
      </c>
      <c r="C404" s="10">
        <v>0</v>
      </c>
      <c r="D404" s="10">
        <v>148214500</v>
      </c>
      <c r="E404" s="7"/>
    </row>
    <row r="405" spans="1:5" ht="26.25" customHeight="1">
      <c r="A405" s="63"/>
      <c r="B405" s="64" t="s">
        <v>388</v>
      </c>
      <c r="C405" s="10">
        <v>334005006</v>
      </c>
      <c r="D405" s="10">
        <v>1000689038</v>
      </c>
      <c r="E405" s="7"/>
    </row>
    <row r="406" spans="1:5" ht="26.25" customHeight="1">
      <c r="A406" s="63"/>
      <c r="B406" s="64" t="s">
        <v>389</v>
      </c>
      <c r="C406" s="10">
        <v>357099525</v>
      </c>
      <c r="D406" s="10">
        <v>1606347799</v>
      </c>
      <c r="E406" s="7"/>
    </row>
    <row r="407" spans="1:5" ht="26.25" customHeight="1">
      <c r="A407" s="63"/>
      <c r="B407" s="64" t="s">
        <v>424</v>
      </c>
      <c r="C407" s="327">
        <f>-354778908-126331061</f>
        <v>-481109969</v>
      </c>
      <c r="D407" s="327">
        <v>-1978776791</v>
      </c>
      <c r="E407" s="7"/>
    </row>
    <row r="408" spans="1:5" ht="26.25" customHeight="1">
      <c r="A408" s="63"/>
      <c r="B408" s="64" t="s">
        <v>382</v>
      </c>
      <c r="C408" s="28">
        <v>1425111103</v>
      </c>
      <c r="D408" s="28">
        <v>5152060765</v>
      </c>
      <c r="E408" s="7"/>
    </row>
    <row r="409" spans="1:5" ht="26.25" customHeight="1">
      <c r="A409" s="65"/>
      <c r="B409" s="66" t="s">
        <v>53</v>
      </c>
      <c r="C409" s="67">
        <v>119000000</v>
      </c>
      <c r="D409" s="67">
        <v>406575605</v>
      </c>
      <c r="E409" s="7"/>
    </row>
    <row r="410" spans="1:5" ht="26.25" customHeight="1">
      <c r="A410" s="59" t="s">
        <v>663</v>
      </c>
      <c r="B410" s="253"/>
      <c r="C410" s="15" t="s">
        <v>52</v>
      </c>
      <c r="D410" s="15" t="str">
        <f>D392</f>
        <v>Luü kÕ n¨m</v>
      </c>
      <c r="E410" s="7"/>
    </row>
    <row r="411" spans="1:5" ht="26.25" customHeight="1">
      <c r="A411" s="119" t="s">
        <v>664</v>
      </c>
      <c r="B411" s="373"/>
      <c r="C411" s="93">
        <f>SUM(C412:C413)</f>
        <v>189195576</v>
      </c>
      <c r="D411" s="93">
        <f>SUM(D412:D413)</f>
        <v>195559211</v>
      </c>
      <c r="E411" s="7"/>
    </row>
    <row r="412" spans="1:5" ht="26.25" customHeight="1">
      <c r="A412" s="124" t="s">
        <v>653</v>
      </c>
      <c r="B412" s="124"/>
      <c r="C412" s="28">
        <v>3348424</v>
      </c>
      <c r="D412" s="28">
        <v>9712059</v>
      </c>
      <c r="E412" s="7"/>
    </row>
    <row r="413" spans="1:5" ht="26.25" customHeight="1">
      <c r="A413" s="124" t="s">
        <v>652</v>
      </c>
      <c r="B413" s="124"/>
      <c r="C413" s="28">
        <v>185847152</v>
      </c>
      <c r="D413" s="28">
        <f>C413</f>
        <v>185847152</v>
      </c>
      <c r="E413" s="7"/>
    </row>
    <row r="414" spans="1:5" ht="26.25" customHeight="1">
      <c r="A414" s="116" t="s">
        <v>665</v>
      </c>
      <c r="B414" s="124"/>
      <c r="C414" s="27">
        <f>SUM(C415:C416)</f>
        <v>39964000</v>
      </c>
      <c r="D414" s="27">
        <f>SUM(D415:D416)</f>
        <v>189134000</v>
      </c>
      <c r="E414" s="7"/>
    </row>
    <row r="415" spans="1:5" ht="26.25" customHeight="1">
      <c r="A415" s="124" t="s">
        <v>654</v>
      </c>
      <c r="B415" s="124"/>
      <c r="C415" s="27"/>
      <c r="D415" s="28">
        <v>134400000</v>
      </c>
      <c r="E415" s="7"/>
    </row>
    <row r="416" spans="1:5" ht="26.25" customHeight="1">
      <c r="A416" s="124" t="s">
        <v>655</v>
      </c>
      <c r="B416" s="124"/>
      <c r="C416" s="28">
        <v>39964000</v>
      </c>
      <c r="D416" s="28">
        <v>54734000</v>
      </c>
      <c r="E416" s="7"/>
    </row>
    <row r="417" spans="1:5" ht="26.25" customHeight="1">
      <c r="A417" s="116" t="s">
        <v>666</v>
      </c>
      <c r="B417" s="124"/>
      <c r="C417" s="27">
        <f>SUM(C418:C419)</f>
        <v>626879966</v>
      </c>
      <c r="D417" s="27">
        <f>SUM(D418:D419)</f>
        <v>2737971440</v>
      </c>
      <c r="E417" s="7"/>
    </row>
    <row r="418" spans="1:5" ht="26.25" customHeight="1">
      <c r="A418" s="124" t="s">
        <v>668</v>
      </c>
      <c r="B418" s="124"/>
      <c r="C418" s="28">
        <v>525207240</v>
      </c>
      <c r="D418" s="28">
        <v>2636298714</v>
      </c>
      <c r="E418" s="7"/>
    </row>
    <row r="419" spans="1:5" ht="26.25" customHeight="1">
      <c r="A419" s="79" t="s">
        <v>667</v>
      </c>
      <c r="B419" s="79"/>
      <c r="C419" s="32">
        <v>101672726</v>
      </c>
      <c r="D419" s="32">
        <v>101672726</v>
      </c>
      <c r="E419" s="7"/>
    </row>
    <row r="420" spans="1:5" ht="26.25" customHeight="1">
      <c r="A420" s="379"/>
      <c r="B420" s="380"/>
      <c r="C420" s="381"/>
      <c r="D420" s="381"/>
      <c r="E420" s="7"/>
    </row>
    <row r="421" spans="1:5" ht="26.25" customHeight="1">
      <c r="A421" s="59" t="s">
        <v>662</v>
      </c>
      <c r="B421" s="120"/>
      <c r="C421" s="15" t="s">
        <v>52</v>
      </c>
      <c r="D421" s="115" t="s">
        <v>210</v>
      </c>
      <c r="E421" s="23"/>
    </row>
    <row r="422" spans="1:5" ht="26.25" customHeight="1">
      <c r="A422" s="121" t="s">
        <v>656</v>
      </c>
      <c r="B422" s="122"/>
      <c r="C422" s="78">
        <f>C423+C424</f>
        <v>18084523013</v>
      </c>
      <c r="D422" s="78">
        <f>SUM(D423:D424)</f>
        <v>75790898162</v>
      </c>
      <c r="E422" s="24"/>
    </row>
    <row r="423" spans="1:5" ht="26.25" customHeight="1">
      <c r="A423" s="55"/>
      <c r="B423" s="123" t="s">
        <v>390</v>
      </c>
      <c r="C423" s="28">
        <v>17697059069</v>
      </c>
      <c r="D423" s="28">
        <v>74598929068</v>
      </c>
      <c r="E423" s="7"/>
    </row>
    <row r="424" spans="1:5" ht="26.25" customHeight="1">
      <c r="A424" s="55"/>
      <c r="B424" s="123" t="s">
        <v>391</v>
      </c>
      <c r="C424" s="28">
        <v>387463944</v>
      </c>
      <c r="D424" s="28">
        <v>1191969094</v>
      </c>
      <c r="E424" s="7"/>
    </row>
    <row r="425" spans="1:5" ht="26.25" customHeight="1">
      <c r="A425" s="116" t="s">
        <v>657</v>
      </c>
      <c r="B425" s="124"/>
      <c r="C425" s="27">
        <f>SUM(C426:C428)</f>
        <v>8796529100</v>
      </c>
      <c r="D425" s="27">
        <f>SUM(D426:D428)</f>
        <v>28644106000</v>
      </c>
      <c r="E425" s="24"/>
    </row>
    <row r="426" spans="1:5" ht="26.25" customHeight="1">
      <c r="A426" s="55"/>
      <c r="B426" s="123" t="s">
        <v>392</v>
      </c>
      <c r="C426" s="28">
        <v>7533723500</v>
      </c>
      <c r="D426" s="28">
        <v>23932023500</v>
      </c>
      <c r="E426" s="7"/>
    </row>
    <row r="427" spans="1:5" ht="26.25" customHeight="1">
      <c r="A427" s="55"/>
      <c r="B427" s="123" t="s">
        <v>393</v>
      </c>
      <c r="C427" s="28">
        <v>460132700</v>
      </c>
      <c r="D427" s="28">
        <v>1751509100</v>
      </c>
      <c r="E427" s="7"/>
    </row>
    <row r="428" spans="1:5" ht="26.25" customHeight="1">
      <c r="A428" s="55"/>
      <c r="B428" s="123" t="s">
        <v>54</v>
      </c>
      <c r="C428" s="28">
        <f>802672900</f>
        <v>802672900</v>
      </c>
      <c r="D428" s="28">
        <v>2960573400</v>
      </c>
      <c r="E428" s="7"/>
    </row>
    <row r="429" spans="1:5" ht="26.25" customHeight="1">
      <c r="A429" s="116" t="s">
        <v>658</v>
      </c>
      <c r="B429" s="124"/>
      <c r="C429" s="27">
        <v>1855547690</v>
      </c>
      <c r="D429" s="27">
        <v>5859322926</v>
      </c>
      <c r="E429" s="7"/>
    </row>
    <row r="430" spans="1:5" ht="26.25" customHeight="1">
      <c r="A430" s="116" t="s">
        <v>659</v>
      </c>
      <c r="B430" s="124"/>
      <c r="C430" s="27">
        <v>595385981</v>
      </c>
      <c r="D430" s="27">
        <v>2287817979</v>
      </c>
      <c r="E430" s="7"/>
    </row>
    <row r="431" spans="1:5" ht="26.25" customHeight="1">
      <c r="A431" s="116" t="s">
        <v>660</v>
      </c>
      <c r="B431" s="124"/>
      <c r="C431" s="27">
        <v>3405502805</v>
      </c>
      <c r="D431" s="27">
        <v>12853793722</v>
      </c>
      <c r="E431" s="7"/>
    </row>
    <row r="432" spans="1:5" ht="26.25" customHeight="1">
      <c r="A432" s="125" t="s">
        <v>661</v>
      </c>
      <c r="B432" s="126"/>
      <c r="C432" s="127">
        <f>6479181339-126331061</f>
        <v>6352850278</v>
      </c>
      <c r="D432" s="127">
        <f>18470412256-126331061</f>
        <v>18344081195</v>
      </c>
      <c r="E432" s="7"/>
    </row>
    <row r="433" spans="1:10" ht="26.25" customHeight="1">
      <c r="A433" s="75"/>
      <c r="B433" s="58" t="s">
        <v>322</v>
      </c>
      <c r="C433" s="60">
        <f>C422+C425+SUM(C429:C432)</f>
        <v>39090338867</v>
      </c>
      <c r="D433" s="60">
        <f>D422+D425+SUM(D429:D432)</f>
        <v>143780019984</v>
      </c>
      <c r="E433" s="24"/>
    </row>
    <row r="434" spans="1:10" ht="21" customHeight="1">
      <c r="A434" s="6" t="s">
        <v>394</v>
      </c>
      <c r="C434" s="7"/>
      <c r="D434" s="7"/>
      <c r="E434" s="7"/>
      <c r="F434" s="7"/>
    </row>
    <row r="435" spans="1:10" ht="24" customHeight="1">
      <c r="A435" s="195"/>
      <c r="B435" s="196"/>
      <c r="C435" s="242" t="s">
        <v>628</v>
      </c>
      <c r="D435" s="242"/>
      <c r="E435" s="242"/>
    </row>
    <row r="436" spans="1:10" s="35" customFormat="1" ht="18" customHeight="1">
      <c r="A436" s="252" t="s">
        <v>583</v>
      </c>
      <c r="B436" s="252"/>
      <c r="C436" s="252"/>
      <c r="D436" s="252"/>
      <c r="E436" s="252"/>
      <c r="F436" s="34"/>
      <c r="G436" s="34"/>
      <c r="H436" s="34"/>
      <c r="J436" s="34"/>
    </row>
    <row r="437" spans="1:10" s="35" customFormat="1" ht="12.75" customHeight="1">
      <c r="A437" s="198"/>
      <c r="B437" s="199"/>
      <c r="C437" s="417"/>
      <c r="D437" s="417"/>
      <c r="E437" s="9"/>
      <c r="F437" s="34"/>
      <c r="G437" s="34"/>
      <c r="H437" s="34"/>
      <c r="J437" s="34"/>
    </row>
    <row r="438" spans="1:10" ht="15.75">
      <c r="A438" s="200"/>
      <c r="B438" s="196"/>
      <c r="C438" s="196"/>
      <c r="D438" s="128"/>
      <c r="E438" s="128"/>
    </row>
    <row r="439" spans="1:10" ht="15.75">
      <c r="A439" s="200"/>
      <c r="B439" s="196"/>
      <c r="C439" s="196"/>
      <c r="D439" s="128"/>
      <c r="E439" s="128"/>
    </row>
    <row r="440" spans="1:10" ht="15.75">
      <c r="A440" s="200"/>
      <c r="B440" s="196"/>
      <c r="C440" s="196"/>
      <c r="D440" s="128"/>
      <c r="E440" s="128"/>
    </row>
    <row r="441" spans="1:10" ht="13.5" customHeight="1">
      <c r="A441" s="200"/>
      <c r="B441" s="196"/>
      <c r="C441" s="196"/>
      <c r="D441" s="128"/>
      <c r="E441" s="128"/>
    </row>
    <row r="442" spans="1:10" s="149" customFormat="1" ht="15">
      <c r="A442" s="251" t="s">
        <v>584</v>
      </c>
      <c r="B442" s="251"/>
      <c r="C442" s="251"/>
      <c r="D442" s="246"/>
      <c r="E442" s="246"/>
      <c r="J442" s="296"/>
    </row>
  </sheetData>
  <mergeCells count="7">
    <mergeCell ref="A1:D1"/>
    <mergeCell ref="A49:E49"/>
    <mergeCell ref="A194:D194"/>
    <mergeCell ref="C437:D437"/>
    <mergeCell ref="A2:D2"/>
    <mergeCell ref="A5:E5"/>
    <mergeCell ref="A6:E6"/>
  </mergeCells>
  <phoneticPr fontId="14" type="noConversion"/>
  <pageMargins left="0.93" right="0.19" top="0.31" bottom="0.46" header="0.26" footer="0.16"/>
  <pageSetup paperSize="9" orientation="portrait" r:id="rId1"/>
  <headerFooter alignWithMargins="0">
    <oddFooter>&amp;CPage 14 - TM BCTC - Qói IV/2012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topLeftCell="A92" workbookViewId="0">
      <selection activeCell="D112" sqref="D112"/>
    </sheetView>
  </sheetViews>
  <sheetFormatPr defaultRowHeight="15"/>
  <cols>
    <col min="1" max="1" width="49.85546875" style="2" customWidth="1"/>
    <col min="2" max="2" width="8" style="1" customWidth="1"/>
    <col min="3" max="3" width="7.5703125" style="1" customWidth="1"/>
    <col min="4" max="4" width="18.28515625" style="2" customWidth="1"/>
    <col min="5" max="5" width="18" style="2" customWidth="1"/>
    <col min="6" max="7" width="22.85546875" style="2" hidden="1" customWidth="1"/>
    <col min="8" max="8" width="23.140625" style="2" hidden="1" customWidth="1"/>
    <col min="9" max="10" width="0" style="2" hidden="1" customWidth="1"/>
    <col min="11" max="11" width="14.28515625" style="2" hidden="1" customWidth="1"/>
    <col min="12" max="12" width="18" style="2" customWidth="1"/>
    <col min="13" max="16384" width="9.140625" style="2"/>
  </cols>
  <sheetData>
    <row r="1" spans="1:8" customFormat="1" ht="23.25" customHeight="1">
      <c r="A1" s="135" t="s">
        <v>405</v>
      </c>
      <c r="B1" s="37"/>
      <c r="C1" s="436" t="s">
        <v>408</v>
      </c>
      <c r="D1" s="436"/>
      <c r="E1" s="436"/>
      <c r="F1" s="436"/>
    </row>
    <row r="2" spans="1:8" customFormat="1" ht="16.5" customHeight="1">
      <c r="A2" s="136" t="s">
        <v>407</v>
      </c>
      <c r="B2" s="37"/>
      <c r="C2" s="437" t="s">
        <v>57</v>
      </c>
      <c r="D2" s="437"/>
      <c r="E2" s="437"/>
      <c r="F2" s="437"/>
    </row>
    <row r="3" spans="1:8" customFormat="1" ht="14.25" customHeight="1">
      <c r="A3" s="438" t="s">
        <v>629</v>
      </c>
      <c r="B3" s="438"/>
      <c r="C3" s="438"/>
      <c r="D3" s="438"/>
      <c r="E3" s="438"/>
      <c r="F3" s="438"/>
    </row>
    <row r="4" spans="1:8" ht="27.75" customHeight="1">
      <c r="A4" s="439" t="s">
        <v>94</v>
      </c>
      <c r="B4" s="439"/>
      <c r="C4" s="439"/>
      <c r="D4" s="439"/>
      <c r="E4" s="439"/>
    </row>
    <row r="5" spans="1:8" ht="15" customHeight="1">
      <c r="A5" s="434" t="s">
        <v>617</v>
      </c>
      <c r="B5" s="434"/>
      <c r="C5" s="434"/>
      <c r="D5" s="434"/>
      <c r="E5" s="434"/>
    </row>
    <row r="6" spans="1:8" ht="15.75">
      <c r="B6" s="8"/>
      <c r="C6" s="25"/>
      <c r="E6" s="26" t="s">
        <v>95</v>
      </c>
    </row>
    <row r="7" spans="1:8" ht="17.25" customHeight="1">
      <c r="A7" s="159" t="s">
        <v>96</v>
      </c>
      <c r="B7" s="115" t="s">
        <v>97</v>
      </c>
      <c r="C7" s="115" t="s">
        <v>98</v>
      </c>
      <c r="D7" s="115" t="s">
        <v>409</v>
      </c>
      <c r="E7" s="115" t="s">
        <v>99</v>
      </c>
      <c r="F7" s="16" t="s">
        <v>100</v>
      </c>
      <c r="G7" s="16" t="s">
        <v>101</v>
      </c>
      <c r="H7" s="16"/>
    </row>
    <row r="8" spans="1:8" s="149" customFormat="1" ht="17.25" customHeight="1">
      <c r="A8" s="201" t="s">
        <v>431</v>
      </c>
      <c r="B8" s="160">
        <v>100</v>
      </c>
      <c r="C8" s="160"/>
      <c r="D8" s="161">
        <f>D9+D12+D15+D22+D25</f>
        <v>94604203858</v>
      </c>
      <c r="E8" s="161">
        <f>E9+E12+E15+E22+E25</f>
        <v>99581882926</v>
      </c>
      <c r="F8" s="148" t="e">
        <f>F9+F12+F15+F22+F25+#REF!</f>
        <v>#REF!</v>
      </c>
      <c r="G8" s="148" t="e">
        <f>G9+G12+G15+G22+G25+#REF!</f>
        <v>#REF!</v>
      </c>
      <c r="H8" s="148" t="e">
        <f>H9+H12+H15+H22+H25+#REF!</f>
        <v>#REF!</v>
      </c>
    </row>
    <row r="9" spans="1:8" s="149" customFormat="1" ht="17.25" customHeight="1">
      <c r="A9" s="162" t="s">
        <v>102</v>
      </c>
      <c r="B9" s="163">
        <v>110</v>
      </c>
      <c r="C9" s="163"/>
      <c r="D9" s="164">
        <f>D10+D11</f>
        <v>15958240452</v>
      </c>
      <c r="E9" s="164">
        <f>E10+E11</f>
        <v>11478147073</v>
      </c>
      <c r="F9" s="150" t="e">
        <f>F10+F11+#REF!</f>
        <v>#REF!</v>
      </c>
      <c r="G9" s="150" t="e">
        <f>G10+G11+#REF!</f>
        <v>#REF!</v>
      </c>
      <c r="H9" s="150" t="e">
        <f>H10+H11+#REF!</f>
        <v>#REF!</v>
      </c>
    </row>
    <row r="10" spans="1:8" s="149" customFormat="1" ht="17.25" customHeight="1">
      <c r="A10" s="165" t="s">
        <v>103</v>
      </c>
      <c r="B10" s="166">
        <v>111</v>
      </c>
      <c r="C10" s="166" t="s">
        <v>104</v>
      </c>
      <c r="D10" s="167">
        <f>TMBC!C162+TMBC!C163</f>
        <v>10958240452</v>
      </c>
      <c r="E10" s="167">
        <v>6478147073</v>
      </c>
      <c r="F10" s="151">
        <v>241018495</v>
      </c>
      <c r="G10" s="151">
        <v>157167058</v>
      </c>
      <c r="H10" s="151">
        <v>1814674</v>
      </c>
    </row>
    <row r="11" spans="1:8" s="149" customFormat="1" ht="17.25" customHeight="1">
      <c r="A11" s="165" t="s">
        <v>105</v>
      </c>
      <c r="B11" s="166">
        <v>112</v>
      </c>
      <c r="C11" s="166"/>
      <c r="D11" s="167">
        <f>TMBC!C164</f>
        <v>5000000000</v>
      </c>
      <c r="E11" s="167">
        <v>5000000000</v>
      </c>
      <c r="F11" s="151">
        <f>226062951+18952683+300000000+9217260+239603804+3276000000</f>
        <v>4069836698</v>
      </c>
      <c r="G11" s="151">
        <f>277752365+51108405+300000000+8764275+39760730+3526000000</f>
        <v>4203385775</v>
      </c>
      <c r="H11" s="151">
        <f>745811821+24986919+2160000000+46000000+8439308+39760730+3626000000</f>
        <v>6650998778</v>
      </c>
    </row>
    <row r="12" spans="1:8" s="149" customFormat="1" ht="17.25" customHeight="1">
      <c r="A12" s="162" t="s">
        <v>106</v>
      </c>
      <c r="B12" s="163">
        <v>120</v>
      </c>
      <c r="C12" s="166" t="s">
        <v>107</v>
      </c>
      <c r="D12" s="164">
        <f>D13+D14</f>
        <v>2000000000</v>
      </c>
      <c r="E12" s="164">
        <f>E13+E14</f>
        <v>1400000000</v>
      </c>
      <c r="F12" s="150" t="e">
        <f>F13+#REF!+F14</f>
        <v>#REF!</v>
      </c>
      <c r="G12" s="150" t="e">
        <f>G13+#REF!+G14</f>
        <v>#REF!</v>
      </c>
      <c r="H12" s="150" t="e">
        <f>H13+#REF!+H14</f>
        <v>#REF!</v>
      </c>
    </row>
    <row r="13" spans="1:8" s="149" customFormat="1" ht="17.25" customHeight="1">
      <c r="A13" s="165" t="s">
        <v>108</v>
      </c>
      <c r="B13" s="166">
        <v>121</v>
      </c>
      <c r="C13" s="166"/>
      <c r="D13" s="167">
        <f>TMBC!C173</f>
        <v>2000000000</v>
      </c>
      <c r="E13" s="167">
        <v>1400000000</v>
      </c>
      <c r="F13" s="151"/>
      <c r="G13" s="151"/>
      <c r="H13" s="151"/>
    </row>
    <row r="14" spans="1:8" s="149" customFormat="1" ht="16.5" hidden="1" customHeight="1">
      <c r="A14" s="165" t="s">
        <v>109</v>
      </c>
      <c r="B14" s="166">
        <v>129</v>
      </c>
      <c r="C14" s="166"/>
      <c r="D14" s="167"/>
      <c r="E14" s="167"/>
      <c r="F14" s="151"/>
      <c r="G14" s="151"/>
      <c r="H14" s="151"/>
    </row>
    <row r="15" spans="1:8" s="149" customFormat="1" ht="17.25" customHeight="1">
      <c r="A15" s="162" t="s">
        <v>110</v>
      </c>
      <c r="B15" s="163">
        <v>130</v>
      </c>
      <c r="C15" s="163"/>
      <c r="D15" s="164">
        <f>D16+D17+D18+D19+D20+D21</f>
        <v>31235779809</v>
      </c>
      <c r="E15" s="164">
        <f>E16+E17+E18+E19+E20+E21</f>
        <v>44698535730</v>
      </c>
      <c r="F15" s="150" t="e">
        <f>F16+F17+F18+F19+F20+F21</f>
        <v>#REF!</v>
      </c>
      <c r="G15" s="150" t="e">
        <f>G16+G17+G18+G19+G20+G21</f>
        <v>#REF!</v>
      </c>
      <c r="H15" s="150" t="e">
        <f>H16+H17+H18+H19+H20+H21</f>
        <v>#REF!</v>
      </c>
    </row>
    <row r="16" spans="1:8" s="149" customFormat="1" ht="17.25" customHeight="1">
      <c r="A16" s="165" t="s">
        <v>111</v>
      </c>
      <c r="B16" s="166">
        <v>131</v>
      </c>
      <c r="C16" s="166"/>
      <c r="D16" s="167">
        <v>36318280293</v>
      </c>
      <c r="E16" s="167">
        <v>41997128512</v>
      </c>
      <c r="F16" s="151">
        <v>12578049321</v>
      </c>
      <c r="G16" s="151">
        <v>10130146218</v>
      </c>
      <c r="H16" s="151">
        <v>11600741663</v>
      </c>
    </row>
    <row r="17" spans="1:8" s="149" customFormat="1" ht="17.25" customHeight="1">
      <c r="A17" s="165" t="s">
        <v>112</v>
      </c>
      <c r="B17" s="166">
        <v>132</v>
      </c>
      <c r="C17" s="166"/>
      <c r="D17" s="167">
        <f>843496022-8000000</f>
        <v>835496022</v>
      </c>
      <c r="E17" s="167">
        <v>10804095159</v>
      </c>
      <c r="F17" s="151">
        <v>469580427</v>
      </c>
      <c r="G17" s="151">
        <v>556031929</v>
      </c>
      <c r="H17" s="151">
        <v>356959933</v>
      </c>
    </row>
    <row r="18" spans="1:8" s="149" customFormat="1" ht="16.5" hidden="1" customHeight="1">
      <c r="A18" s="165" t="s">
        <v>113</v>
      </c>
      <c r="B18" s="166">
        <v>133</v>
      </c>
      <c r="C18" s="166"/>
      <c r="D18" s="167"/>
      <c r="E18" s="167"/>
      <c r="F18" s="151"/>
      <c r="G18" s="151"/>
      <c r="H18" s="151"/>
    </row>
    <row r="19" spans="1:8" s="149" customFormat="1" ht="16.5" hidden="1" customHeight="1">
      <c r="A19" s="165" t="s">
        <v>114</v>
      </c>
      <c r="B19" s="166">
        <v>134</v>
      </c>
      <c r="C19" s="166"/>
      <c r="D19" s="167"/>
      <c r="E19" s="167"/>
      <c r="F19" s="151" t="e">
        <f>#REF!+#REF!</f>
        <v>#REF!</v>
      </c>
      <c r="G19" s="151" t="e">
        <f>#REF!+#REF!</f>
        <v>#REF!</v>
      </c>
      <c r="H19" s="151" t="e">
        <f>#REF!+#REF!</f>
        <v>#REF!</v>
      </c>
    </row>
    <row r="20" spans="1:8" s="149" customFormat="1" ht="17.25" customHeight="1">
      <c r="A20" s="165" t="s">
        <v>115</v>
      </c>
      <c r="B20" s="166">
        <v>135</v>
      </c>
      <c r="C20" s="166" t="s">
        <v>116</v>
      </c>
      <c r="D20" s="167">
        <f>TMBC!C181</f>
        <v>269221634</v>
      </c>
      <c r="E20" s="167">
        <v>63306990</v>
      </c>
      <c r="F20" s="151">
        <f>98071329+850000+24353800+8938385+24542753</f>
        <v>156756267</v>
      </c>
      <c r="G20" s="151">
        <f>81598339+15936400+8814185+37982753</f>
        <v>144331677</v>
      </c>
      <c r="H20" s="151">
        <f>77312507+28581300+8378061+15175353</f>
        <v>129447221</v>
      </c>
    </row>
    <row r="21" spans="1:8" s="149" customFormat="1" ht="17.25" customHeight="1">
      <c r="A21" s="165" t="s">
        <v>117</v>
      </c>
      <c r="B21" s="166">
        <v>139</v>
      </c>
      <c r="C21" s="166"/>
      <c r="D21" s="168">
        <v>-6187218140</v>
      </c>
      <c r="E21" s="168">
        <v>-8165994931</v>
      </c>
      <c r="F21" s="151">
        <v>-447227630</v>
      </c>
      <c r="G21" s="151">
        <v>-447227630</v>
      </c>
      <c r="H21" s="151"/>
    </row>
    <row r="22" spans="1:8" s="149" customFormat="1" ht="17.25" customHeight="1">
      <c r="A22" s="162" t="s">
        <v>118</v>
      </c>
      <c r="B22" s="163">
        <v>140</v>
      </c>
      <c r="C22" s="163"/>
      <c r="D22" s="164">
        <f>SUM(D23:D24)</f>
        <v>41884130197</v>
      </c>
      <c r="E22" s="164">
        <f>SUM(E23:E24)</f>
        <v>39410684494</v>
      </c>
      <c r="F22" s="150">
        <f>SUM(F23:F24)</f>
        <v>-413924000</v>
      </c>
      <c r="G22" s="150">
        <f>SUM(G23:G24)</f>
        <v>-413924000</v>
      </c>
      <c r="H22" s="150">
        <f>SUM(H23:H24)</f>
        <v>0</v>
      </c>
    </row>
    <row r="23" spans="1:8" s="149" customFormat="1" ht="17.25" customHeight="1">
      <c r="A23" s="165" t="s">
        <v>119</v>
      </c>
      <c r="B23" s="166">
        <v>141</v>
      </c>
      <c r="C23" s="166" t="s">
        <v>120</v>
      </c>
      <c r="D23" s="167">
        <f>TMBC!C192</f>
        <v>41884130197</v>
      </c>
      <c r="E23" s="167">
        <v>39410684494</v>
      </c>
      <c r="F23" s="151"/>
      <c r="G23" s="151"/>
      <c r="H23" s="151"/>
    </row>
    <row r="24" spans="1:8" s="149" customFormat="1" ht="17.25" customHeight="1">
      <c r="A24" s="165" t="s">
        <v>121</v>
      </c>
      <c r="B24" s="166">
        <v>149</v>
      </c>
      <c r="C24" s="166"/>
      <c r="D24" s="168"/>
      <c r="E24" s="168"/>
      <c r="F24" s="151">
        <v>-413924000</v>
      </c>
      <c r="G24" s="151">
        <v>-413924000</v>
      </c>
      <c r="H24" s="151"/>
    </row>
    <row r="25" spans="1:8" s="149" customFormat="1" ht="17.25" customHeight="1">
      <c r="A25" s="162" t="s">
        <v>122</v>
      </c>
      <c r="B25" s="163">
        <v>150</v>
      </c>
      <c r="C25" s="163"/>
      <c r="D25" s="164">
        <f>SUM(D26:D29)</f>
        <v>3526053400</v>
      </c>
      <c r="E25" s="164">
        <f>SUM(E26:E29)</f>
        <v>2594515629</v>
      </c>
      <c r="F25" s="150">
        <f>SUM(F26:F29)</f>
        <v>515531811</v>
      </c>
      <c r="G25" s="150">
        <f>SUM(G26:G29)</f>
        <v>651799394</v>
      </c>
      <c r="H25" s="150">
        <f>SUM(H26:H29)</f>
        <v>713841355</v>
      </c>
    </row>
    <row r="26" spans="1:8" s="149" customFormat="1" ht="16.5" customHeight="1">
      <c r="A26" s="165" t="s">
        <v>123</v>
      </c>
      <c r="B26" s="166">
        <v>151</v>
      </c>
      <c r="C26" s="166"/>
      <c r="D26" s="167">
        <v>457307714</v>
      </c>
      <c r="E26" s="167">
        <v>469090000</v>
      </c>
      <c r="F26" s="151">
        <v>495239811</v>
      </c>
      <c r="G26" s="151">
        <v>624086394</v>
      </c>
      <c r="H26" s="151">
        <v>338743106</v>
      </c>
    </row>
    <row r="27" spans="1:8" s="149" customFormat="1" ht="16.5" customHeight="1">
      <c r="A27" s="165" t="s">
        <v>124</v>
      </c>
      <c r="B27" s="166">
        <v>152</v>
      </c>
      <c r="C27" s="166"/>
      <c r="D27" s="167"/>
      <c r="E27" s="167"/>
      <c r="F27" s="151"/>
      <c r="G27" s="151"/>
      <c r="H27" s="151"/>
    </row>
    <row r="28" spans="1:8" s="149" customFormat="1" ht="16.5" customHeight="1">
      <c r="A28" s="165" t="s">
        <v>125</v>
      </c>
      <c r="B28" s="166">
        <v>154</v>
      </c>
      <c r="C28" s="166" t="s">
        <v>126</v>
      </c>
      <c r="D28" s="167">
        <f>TMBC!C200</f>
        <v>110088483</v>
      </c>
      <c r="E28" s="167">
        <v>1645267609</v>
      </c>
      <c r="F28" s="151"/>
      <c r="G28" s="151"/>
      <c r="H28" s="151"/>
    </row>
    <row r="29" spans="1:8" s="149" customFormat="1" ht="16.5" customHeight="1">
      <c r="A29" s="165" t="s">
        <v>127</v>
      </c>
      <c r="B29" s="166">
        <v>158</v>
      </c>
      <c r="C29" s="166"/>
      <c r="D29" s="167">
        <f>TMBC!C205</f>
        <v>2958657203</v>
      </c>
      <c r="E29" s="167">
        <v>480158020</v>
      </c>
      <c r="F29" s="151">
        <v>20292000</v>
      </c>
      <c r="G29" s="151">
        <v>27713000</v>
      </c>
      <c r="H29" s="151">
        <v>375098249</v>
      </c>
    </row>
    <row r="30" spans="1:8" s="149" customFormat="1" ht="17.25" customHeight="1">
      <c r="A30" s="169" t="s">
        <v>430</v>
      </c>
      <c r="B30" s="170">
        <v>200</v>
      </c>
      <c r="C30" s="170"/>
      <c r="D30" s="171">
        <f>D37+D51+D56+D31</f>
        <v>68479768667</v>
      </c>
      <c r="E30" s="171">
        <f>E37+E51+E56+E31</f>
        <v>25360246138</v>
      </c>
      <c r="F30" s="152">
        <f>F37+F51+F56+F57</f>
        <v>6537970346</v>
      </c>
      <c r="G30" s="152">
        <f>G37+G51+G56+G57</f>
        <v>6782346019</v>
      </c>
      <c r="H30" s="152">
        <f>H37+H51+H56+H57</f>
        <v>28302994746</v>
      </c>
    </row>
    <row r="31" spans="1:8" s="149" customFormat="1" ht="17.25" customHeight="1">
      <c r="A31" s="162" t="s">
        <v>128</v>
      </c>
      <c r="B31" s="172">
        <v>210</v>
      </c>
      <c r="C31" s="173"/>
      <c r="D31" s="162">
        <f>SUM(D32:D36)</f>
        <v>0</v>
      </c>
      <c r="E31" s="162">
        <f>SUM(E32:E36)</f>
        <v>0</v>
      </c>
      <c r="F31" s="152"/>
      <c r="G31" s="152"/>
      <c r="H31" s="152"/>
    </row>
    <row r="32" spans="1:8" s="149" customFormat="1" ht="17.25" customHeight="1">
      <c r="A32" s="165" t="s">
        <v>129</v>
      </c>
      <c r="B32" s="173">
        <v>211</v>
      </c>
      <c r="C32" s="173"/>
      <c r="D32" s="165">
        <v>0</v>
      </c>
      <c r="E32" s="165"/>
      <c r="F32" s="152"/>
      <c r="G32" s="152"/>
      <c r="H32" s="152"/>
    </row>
    <row r="33" spans="1:8" s="149" customFormat="1" ht="16.5" hidden="1" customHeight="1">
      <c r="A33" s="165" t="s">
        <v>130</v>
      </c>
      <c r="B33" s="173">
        <v>212</v>
      </c>
      <c r="C33" s="173"/>
      <c r="D33" s="165"/>
      <c r="E33" s="165"/>
      <c r="F33" s="152"/>
      <c r="G33" s="152"/>
      <c r="H33" s="152"/>
    </row>
    <row r="34" spans="1:8" s="149" customFormat="1" ht="16.5" hidden="1" customHeight="1">
      <c r="A34" s="165" t="s">
        <v>131</v>
      </c>
      <c r="B34" s="173">
        <v>213</v>
      </c>
      <c r="C34" s="173" t="s">
        <v>132</v>
      </c>
      <c r="D34" s="165"/>
      <c r="E34" s="165"/>
      <c r="F34" s="152"/>
      <c r="G34" s="152"/>
      <c r="H34" s="152"/>
    </row>
    <row r="35" spans="1:8" s="149" customFormat="1" ht="16.5" hidden="1" customHeight="1">
      <c r="A35" s="165" t="s">
        <v>133</v>
      </c>
      <c r="B35" s="173">
        <v>214</v>
      </c>
      <c r="C35" s="173" t="s">
        <v>134</v>
      </c>
      <c r="D35" s="165"/>
      <c r="E35" s="165"/>
      <c r="F35" s="152"/>
      <c r="G35" s="152"/>
      <c r="H35" s="152"/>
    </row>
    <row r="36" spans="1:8" s="149" customFormat="1" ht="16.5" hidden="1" customHeight="1">
      <c r="A36" s="165" t="s">
        <v>135</v>
      </c>
      <c r="B36" s="173">
        <v>219</v>
      </c>
      <c r="C36" s="173"/>
      <c r="D36" s="165"/>
      <c r="E36" s="165"/>
      <c r="F36" s="152"/>
      <c r="G36" s="152"/>
      <c r="H36" s="152"/>
    </row>
    <row r="37" spans="1:8" s="149" customFormat="1" ht="17.25" customHeight="1">
      <c r="A37" s="162" t="s">
        <v>136</v>
      </c>
      <c r="B37" s="163">
        <v>220</v>
      </c>
      <c r="C37" s="163"/>
      <c r="D37" s="164">
        <f>D38+D41+D44+D47</f>
        <v>66720495791</v>
      </c>
      <c r="E37" s="164">
        <f>E38+E41+E44+E47</f>
        <v>24956819075</v>
      </c>
      <c r="F37" s="150">
        <f>F38+F41+F44</f>
        <v>5000740666</v>
      </c>
      <c r="G37" s="150">
        <f>G38+G41+G44</f>
        <v>5079948339</v>
      </c>
      <c r="H37" s="150">
        <f>H38+H41+H44</f>
        <v>4991375091</v>
      </c>
    </row>
    <row r="38" spans="1:8" s="149" customFormat="1" ht="17.25" customHeight="1">
      <c r="A38" s="165" t="s">
        <v>137</v>
      </c>
      <c r="B38" s="166">
        <v>221</v>
      </c>
      <c r="C38" s="166" t="s">
        <v>138</v>
      </c>
      <c r="D38" s="167">
        <f>D39+D40</f>
        <v>57300595518</v>
      </c>
      <c r="E38" s="167">
        <f>E39+E40</f>
        <v>14738293953</v>
      </c>
      <c r="F38" s="151">
        <f>F39+F40</f>
        <v>5000740666</v>
      </c>
      <c r="G38" s="151">
        <f>G39+G40</f>
        <v>5079948339</v>
      </c>
      <c r="H38" s="151">
        <f>H39+H40</f>
        <v>4991375091</v>
      </c>
    </row>
    <row r="39" spans="1:8" s="149" customFormat="1" ht="17.25" customHeight="1">
      <c r="A39" s="174" t="s">
        <v>139</v>
      </c>
      <c r="B39" s="175">
        <v>222</v>
      </c>
      <c r="C39" s="175"/>
      <c r="D39" s="176">
        <v>93618650565</v>
      </c>
      <c r="E39" s="176">
        <v>45415314366</v>
      </c>
      <c r="F39" s="153">
        <v>14259282718</v>
      </c>
      <c r="G39" s="153">
        <v>14623274582</v>
      </c>
      <c r="H39" s="151">
        <v>14581374693</v>
      </c>
    </row>
    <row r="40" spans="1:8" s="149" customFormat="1" ht="17.25" customHeight="1">
      <c r="A40" s="174" t="s">
        <v>140</v>
      </c>
      <c r="B40" s="175">
        <v>223</v>
      </c>
      <c r="C40" s="175"/>
      <c r="D40" s="177">
        <v>-36318055047</v>
      </c>
      <c r="E40" s="177">
        <v>-30677020413</v>
      </c>
      <c r="F40" s="153">
        <v>-9258542052</v>
      </c>
      <c r="G40" s="153">
        <v>-9543326243</v>
      </c>
      <c r="H40" s="153">
        <v>-9589999602</v>
      </c>
    </row>
    <row r="41" spans="1:8" s="149" customFormat="1" ht="16.5" customHeight="1">
      <c r="A41" s="165" t="s">
        <v>141</v>
      </c>
      <c r="B41" s="166">
        <v>224</v>
      </c>
      <c r="C41" s="166" t="s">
        <v>142</v>
      </c>
      <c r="D41" s="167">
        <f>D42-D43</f>
        <v>0</v>
      </c>
      <c r="E41" s="167">
        <f>E42-E43</f>
        <v>0</v>
      </c>
      <c r="F41" s="151"/>
      <c r="G41" s="151"/>
      <c r="H41" s="151"/>
    </row>
    <row r="42" spans="1:8" s="149" customFormat="1" ht="16.5" hidden="1" customHeight="1">
      <c r="A42" s="174" t="s">
        <v>139</v>
      </c>
      <c r="B42" s="175">
        <v>225</v>
      </c>
      <c r="C42" s="175"/>
      <c r="D42" s="176"/>
      <c r="E42" s="176"/>
      <c r="F42" s="153"/>
      <c r="G42" s="153"/>
      <c r="H42" s="153"/>
    </row>
    <row r="43" spans="1:8" s="149" customFormat="1" ht="16.5" hidden="1" customHeight="1">
      <c r="A43" s="174" t="s">
        <v>140</v>
      </c>
      <c r="B43" s="175">
        <v>226</v>
      </c>
      <c r="C43" s="175"/>
      <c r="D43" s="176"/>
      <c r="E43" s="176"/>
      <c r="F43" s="153"/>
      <c r="G43" s="153"/>
      <c r="H43" s="153"/>
    </row>
    <row r="44" spans="1:8" s="149" customFormat="1" ht="17.25" customHeight="1">
      <c r="A44" s="165" t="s">
        <v>143</v>
      </c>
      <c r="B44" s="166">
        <v>227</v>
      </c>
      <c r="C44" s="166" t="s">
        <v>144</v>
      </c>
      <c r="D44" s="167">
        <f>D45+D46</f>
        <v>2205812378</v>
      </c>
      <c r="E44" s="167">
        <f>E45+E46</f>
        <v>2368824536</v>
      </c>
      <c r="F44" s="151"/>
      <c r="G44" s="151"/>
      <c r="H44" s="151"/>
    </row>
    <row r="45" spans="1:8" s="149" customFormat="1" ht="17.25" customHeight="1">
      <c r="A45" s="174" t="s">
        <v>139</v>
      </c>
      <c r="B45" s="175">
        <v>228</v>
      </c>
      <c r="C45" s="175"/>
      <c r="D45" s="176">
        <v>3038689253</v>
      </c>
      <c r="E45" s="176">
        <v>3038689253</v>
      </c>
      <c r="F45" s="153"/>
      <c r="G45" s="153"/>
      <c r="H45" s="153"/>
    </row>
    <row r="46" spans="1:8" s="149" customFormat="1" ht="17.25" customHeight="1">
      <c r="A46" s="174" t="s">
        <v>140</v>
      </c>
      <c r="B46" s="175">
        <v>229</v>
      </c>
      <c r="C46" s="175"/>
      <c r="D46" s="177">
        <v>-832876875</v>
      </c>
      <c r="E46" s="177">
        <v>-669864717</v>
      </c>
      <c r="F46" s="153"/>
      <c r="G46" s="153"/>
      <c r="H46" s="153"/>
    </row>
    <row r="47" spans="1:8" s="149" customFormat="1" ht="17.25" customHeight="1">
      <c r="A47" s="165" t="s">
        <v>145</v>
      </c>
      <c r="B47" s="175">
        <v>230</v>
      </c>
      <c r="C47" s="166" t="s">
        <v>146</v>
      </c>
      <c r="D47" s="167">
        <f>TMBC!C279</f>
        <v>7214087895</v>
      </c>
      <c r="E47" s="167">
        <v>7849700586</v>
      </c>
      <c r="F47" s="153"/>
      <c r="G47" s="153"/>
      <c r="H47" s="153"/>
    </row>
    <row r="48" spans="1:8" s="149" customFormat="1" ht="17.25" customHeight="1">
      <c r="A48" s="162" t="s">
        <v>147</v>
      </c>
      <c r="B48" s="163">
        <v>240</v>
      </c>
      <c r="C48" s="163" t="s">
        <v>148</v>
      </c>
      <c r="D48" s="164">
        <f>D49+D50</f>
        <v>0</v>
      </c>
      <c r="E48" s="164">
        <f>E49+E50</f>
        <v>0</v>
      </c>
      <c r="F48" s="153"/>
      <c r="G48" s="153"/>
      <c r="H48" s="153"/>
    </row>
    <row r="49" spans="1:8" s="149" customFormat="1" ht="16.5" hidden="1" customHeight="1">
      <c r="A49" s="178" t="s">
        <v>149</v>
      </c>
      <c r="B49" s="175">
        <v>241</v>
      </c>
      <c r="C49" s="166"/>
      <c r="D49" s="167"/>
      <c r="E49" s="167"/>
      <c r="F49" s="153"/>
      <c r="G49" s="153"/>
      <c r="H49" s="153"/>
    </row>
    <row r="50" spans="1:8" s="149" customFormat="1" ht="16.5" hidden="1" customHeight="1">
      <c r="A50" s="178" t="s">
        <v>150</v>
      </c>
      <c r="B50" s="175">
        <v>242</v>
      </c>
      <c r="C50" s="166"/>
      <c r="D50" s="167"/>
      <c r="E50" s="167"/>
      <c r="F50" s="153"/>
      <c r="G50" s="153"/>
      <c r="H50" s="153"/>
    </row>
    <row r="51" spans="1:8" s="149" customFormat="1" ht="17.25" customHeight="1">
      <c r="A51" s="162" t="s">
        <v>151</v>
      </c>
      <c r="B51" s="163">
        <v>250</v>
      </c>
      <c r="C51" s="163"/>
      <c r="D51" s="164">
        <v>0</v>
      </c>
      <c r="E51" s="164">
        <f>SUM(E52:E55)</f>
        <v>0</v>
      </c>
      <c r="F51" s="150">
        <f>SUM(F52:F55)</f>
        <v>1537229680</v>
      </c>
      <c r="G51" s="150">
        <f>SUM(G52:G55)</f>
        <v>1537229680</v>
      </c>
      <c r="H51" s="150">
        <f>SUM(H52:H55)</f>
        <v>21084287320</v>
      </c>
    </row>
    <row r="52" spans="1:8" s="149" customFormat="1" ht="16.5" hidden="1" customHeight="1">
      <c r="A52" s="165" t="s">
        <v>152</v>
      </c>
      <c r="B52" s="166">
        <v>251</v>
      </c>
      <c r="C52" s="166"/>
      <c r="D52" s="167"/>
      <c r="E52" s="167"/>
      <c r="F52" s="151"/>
      <c r="G52" s="151"/>
      <c r="H52" s="151"/>
    </row>
    <row r="53" spans="1:8" s="149" customFormat="1" ht="16.5" hidden="1" customHeight="1">
      <c r="A53" s="165" t="s">
        <v>153</v>
      </c>
      <c r="B53" s="166">
        <v>252</v>
      </c>
      <c r="C53" s="166"/>
      <c r="D53" s="167"/>
      <c r="E53" s="167"/>
      <c r="F53" s="151">
        <f>519976500-300146820</f>
        <v>219829680</v>
      </c>
      <c r="G53" s="151">
        <f>519976500-300146820</f>
        <v>219829680</v>
      </c>
      <c r="H53" s="151">
        <f>20067034140-300146820</f>
        <v>19766887320</v>
      </c>
    </row>
    <row r="54" spans="1:8" s="149" customFormat="1" ht="17.25" customHeight="1">
      <c r="A54" s="165" t="s">
        <v>154</v>
      </c>
      <c r="B54" s="166">
        <v>258</v>
      </c>
      <c r="C54" s="166" t="s">
        <v>155</v>
      </c>
      <c r="D54" s="167">
        <v>0</v>
      </c>
      <c r="E54" s="167">
        <v>0</v>
      </c>
      <c r="F54" s="151">
        <v>1317400000</v>
      </c>
      <c r="G54" s="151">
        <v>1317400000</v>
      </c>
      <c r="H54" s="151">
        <v>1317400000</v>
      </c>
    </row>
    <row r="55" spans="1:8" s="149" customFormat="1" ht="16.5" hidden="1" customHeight="1">
      <c r="A55" s="165" t="s">
        <v>156</v>
      </c>
      <c r="B55" s="166">
        <v>259</v>
      </c>
      <c r="C55" s="166"/>
      <c r="D55" s="167"/>
      <c r="E55" s="167"/>
      <c r="F55" s="151"/>
      <c r="G55" s="151"/>
      <c r="H55" s="151"/>
    </row>
    <row r="56" spans="1:8" s="149" customFormat="1" ht="17.25" customHeight="1">
      <c r="A56" s="162" t="s">
        <v>157</v>
      </c>
      <c r="B56" s="163">
        <v>260</v>
      </c>
      <c r="C56" s="179"/>
      <c r="D56" s="164">
        <f>SUM(D57:D59)</f>
        <v>1759272876</v>
      </c>
      <c r="E56" s="164">
        <f>SUM(E57:E59)</f>
        <v>403427063</v>
      </c>
      <c r="F56" s="150"/>
      <c r="G56" s="150">
        <v>165168000</v>
      </c>
      <c r="H56" s="150">
        <f>367677035+1859655300</f>
        <v>2227332335</v>
      </c>
    </row>
    <row r="57" spans="1:8" s="149" customFormat="1" ht="15.75" customHeight="1">
      <c r="A57" s="165" t="s">
        <v>158</v>
      </c>
      <c r="B57" s="166">
        <v>261</v>
      </c>
      <c r="C57" s="166" t="s">
        <v>159</v>
      </c>
      <c r="D57" s="167">
        <f>TMBC!C289</f>
        <v>1718250149</v>
      </c>
      <c r="E57" s="167">
        <v>403427063</v>
      </c>
      <c r="F57" s="154"/>
      <c r="G57" s="154"/>
      <c r="H57" s="154"/>
    </row>
    <row r="58" spans="1:8" s="149" customFormat="1" ht="15.75" customHeight="1">
      <c r="A58" s="165" t="s">
        <v>160</v>
      </c>
      <c r="B58" s="166">
        <v>262</v>
      </c>
      <c r="C58" s="166" t="s">
        <v>161</v>
      </c>
      <c r="D58" s="167">
        <v>41022727</v>
      </c>
      <c r="E58" s="180"/>
      <c r="F58" s="155"/>
      <c r="G58" s="155"/>
      <c r="H58" s="155"/>
    </row>
    <row r="59" spans="1:8" s="149" customFormat="1" ht="15.75" customHeight="1">
      <c r="A59" s="181" t="s">
        <v>162</v>
      </c>
      <c r="B59" s="182">
        <v>268</v>
      </c>
      <c r="C59" s="183"/>
      <c r="D59" s="184"/>
      <c r="E59" s="184"/>
      <c r="F59" s="155"/>
      <c r="G59" s="155"/>
      <c r="H59" s="155"/>
    </row>
    <row r="60" spans="1:8" s="149" customFormat="1" ht="17.25" customHeight="1">
      <c r="A60" s="185" t="s">
        <v>163</v>
      </c>
      <c r="B60" s="194">
        <v>270</v>
      </c>
      <c r="C60" s="186"/>
      <c r="D60" s="187">
        <f>D30+D8</f>
        <v>163083972525</v>
      </c>
      <c r="E60" s="187">
        <f>E30+E8</f>
        <v>124942129064</v>
      </c>
      <c r="F60" s="156" t="e">
        <f>F30+F8</f>
        <v>#REF!</v>
      </c>
      <c r="G60" s="156" t="e">
        <f>G30+G8</f>
        <v>#REF!</v>
      </c>
      <c r="H60" s="156" t="e">
        <f>H30+H8</f>
        <v>#REF!</v>
      </c>
    </row>
    <row r="61" spans="1:8" s="149" customFormat="1" ht="17.25" customHeight="1">
      <c r="A61" s="188"/>
      <c r="B61" s="189"/>
      <c r="C61" s="189"/>
      <c r="D61" s="190"/>
      <c r="E61" s="190"/>
      <c r="F61" s="156"/>
      <c r="G61" s="156"/>
      <c r="H61" s="156"/>
    </row>
    <row r="62" spans="1:8" s="149" customFormat="1" ht="24" customHeight="1">
      <c r="A62" s="159" t="s">
        <v>164</v>
      </c>
      <c r="B62" s="115" t="s">
        <v>97</v>
      </c>
      <c r="C62" s="115" t="s">
        <v>98</v>
      </c>
      <c r="D62" s="115" t="s">
        <v>409</v>
      </c>
      <c r="E62" s="115" t="s">
        <v>99</v>
      </c>
      <c r="F62" s="157" t="s">
        <v>100</v>
      </c>
      <c r="G62" s="157" t="s">
        <v>165</v>
      </c>
      <c r="H62" s="157" t="s">
        <v>166</v>
      </c>
    </row>
    <row r="63" spans="1:8" s="149" customFormat="1" ht="16.5" customHeight="1">
      <c r="A63" s="191" t="s">
        <v>167</v>
      </c>
      <c r="B63" s="192">
        <v>300</v>
      </c>
      <c r="C63" s="192"/>
      <c r="D63" s="161">
        <f>D64+D76</f>
        <v>113960788798</v>
      </c>
      <c r="E63" s="161">
        <f>E64+E76</f>
        <v>72313575474</v>
      </c>
      <c r="F63" s="148" t="e">
        <f>F64+F76+#REF!</f>
        <v>#REF!</v>
      </c>
      <c r="G63" s="148" t="e">
        <f>G64+G76+#REF!</f>
        <v>#REF!</v>
      </c>
      <c r="H63" s="148" t="e">
        <f>H64+H76+#REF!</f>
        <v>#REF!</v>
      </c>
    </row>
    <row r="64" spans="1:8" s="149" customFormat="1" ht="16.5" customHeight="1">
      <c r="A64" s="162" t="s">
        <v>168</v>
      </c>
      <c r="B64" s="163">
        <v>310</v>
      </c>
      <c r="C64" s="163"/>
      <c r="D64" s="164">
        <f>SUM(D65:D75)</f>
        <v>95040948903</v>
      </c>
      <c r="E64" s="164">
        <f>SUM(E65:E75)</f>
        <v>70399015076</v>
      </c>
      <c r="F64" s="152">
        <f>SUM(F65:F73)</f>
        <v>10331924751</v>
      </c>
      <c r="G64" s="152">
        <f>SUM(G65:G73)</f>
        <v>10445523352</v>
      </c>
      <c r="H64" s="152">
        <f>SUM(H65:H73)</f>
        <v>15082431340</v>
      </c>
    </row>
    <row r="65" spans="1:8" s="149" customFormat="1" ht="16.5" customHeight="1">
      <c r="A65" s="165" t="s">
        <v>169</v>
      </c>
      <c r="B65" s="166">
        <v>311</v>
      </c>
      <c r="C65" s="166" t="s">
        <v>170</v>
      </c>
      <c r="D65" s="167">
        <f>TMBC!C295</f>
        <v>27732210980</v>
      </c>
      <c r="E65" s="167">
        <v>7767478405</v>
      </c>
      <c r="F65" s="151"/>
      <c r="G65" s="151"/>
      <c r="H65" s="151"/>
    </row>
    <row r="66" spans="1:8" s="149" customFormat="1" ht="16.5" customHeight="1">
      <c r="A66" s="165" t="s">
        <v>171</v>
      </c>
      <c r="B66" s="166">
        <v>312</v>
      </c>
      <c r="C66" s="166"/>
      <c r="D66" s="167">
        <f>26060473498-8000000</f>
        <v>26052473498</v>
      </c>
      <c r="E66" s="167">
        <v>24252322253</v>
      </c>
      <c r="F66" s="151">
        <v>4892222971</v>
      </c>
      <c r="G66" s="151">
        <v>5207918153</v>
      </c>
      <c r="H66" s="151">
        <v>6626911654</v>
      </c>
    </row>
    <row r="67" spans="1:8" s="149" customFormat="1" ht="16.5" customHeight="1">
      <c r="A67" s="165" t="s">
        <v>172</v>
      </c>
      <c r="B67" s="166">
        <v>313</v>
      </c>
      <c r="C67" s="166"/>
      <c r="D67" s="167">
        <f>21775882146</f>
        <v>21775882146</v>
      </c>
      <c r="E67" s="167">
        <v>21479824262</v>
      </c>
      <c r="F67" s="151">
        <v>259283358</v>
      </c>
      <c r="G67" s="151">
        <v>412112752</v>
      </c>
      <c r="H67" s="151">
        <v>803983239</v>
      </c>
    </row>
    <row r="68" spans="1:8" s="149" customFormat="1" ht="16.5" customHeight="1">
      <c r="A68" s="165" t="s">
        <v>173</v>
      </c>
      <c r="B68" s="166">
        <v>314</v>
      </c>
      <c r="C68" s="166" t="s">
        <v>174</v>
      </c>
      <c r="D68" s="167">
        <f>TMBC!C302</f>
        <v>771892990</v>
      </c>
      <c r="E68" s="167">
        <v>665142486</v>
      </c>
      <c r="F68" s="151">
        <f>233913505+890272000+40324000+17319800</f>
        <v>1181829305</v>
      </c>
      <c r="G68" s="151">
        <f>51481290+718644000+78124000+22041200</f>
        <v>870290490</v>
      </c>
      <c r="H68" s="151">
        <f>94127477+598953000+88224000+17804800</f>
        <v>799109277</v>
      </c>
    </row>
    <row r="69" spans="1:8" s="149" customFormat="1" ht="16.5" customHeight="1">
      <c r="A69" s="165" t="s">
        <v>175</v>
      </c>
      <c r="B69" s="166">
        <v>315</v>
      </c>
      <c r="C69" s="166"/>
      <c r="D69" s="167">
        <v>8448148726</v>
      </c>
      <c r="E69" s="167">
        <v>6771771360</v>
      </c>
      <c r="F69" s="151">
        <v>3737949008</v>
      </c>
      <c r="G69" s="151">
        <v>3701569708</v>
      </c>
      <c r="H69" s="151">
        <v>1576073308</v>
      </c>
    </row>
    <row r="70" spans="1:8" s="149" customFormat="1" ht="16.5" customHeight="1">
      <c r="A70" s="165" t="s">
        <v>176</v>
      </c>
      <c r="B70" s="166">
        <v>316</v>
      </c>
      <c r="C70" s="166" t="s">
        <v>177</v>
      </c>
      <c r="D70" s="167">
        <f>TMBC!C313</f>
        <v>3311682462</v>
      </c>
      <c r="E70" s="167">
        <v>3262793180</v>
      </c>
      <c r="F70" s="151"/>
      <c r="G70" s="151"/>
      <c r="H70" s="151"/>
    </row>
    <row r="71" spans="1:8" s="149" customFormat="1" ht="16.5" hidden="1" customHeight="1">
      <c r="A71" s="165" t="s">
        <v>178</v>
      </c>
      <c r="B71" s="166">
        <v>317</v>
      </c>
      <c r="C71" s="166"/>
      <c r="D71" s="167"/>
      <c r="E71" s="167"/>
      <c r="F71" s="151">
        <v>7115782</v>
      </c>
      <c r="G71" s="151">
        <v>731922</v>
      </c>
      <c r="H71" s="151"/>
    </row>
    <row r="72" spans="1:8" s="149" customFormat="1" ht="16.5" hidden="1" customHeight="1">
      <c r="A72" s="165" t="s">
        <v>179</v>
      </c>
      <c r="B72" s="166">
        <v>318</v>
      </c>
      <c r="C72" s="166"/>
      <c r="D72" s="167"/>
      <c r="E72" s="167"/>
      <c r="F72" s="151"/>
      <c r="G72" s="151"/>
      <c r="H72" s="151"/>
    </row>
    <row r="73" spans="1:8" s="149" customFormat="1" ht="16.5" customHeight="1">
      <c r="A73" s="165" t="s">
        <v>180</v>
      </c>
      <c r="B73" s="166">
        <v>319</v>
      </c>
      <c r="C73" s="166" t="s">
        <v>181</v>
      </c>
      <c r="D73" s="167">
        <f>TMBC!C325</f>
        <v>175517878</v>
      </c>
      <c r="E73" s="167">
        <v>186491507</v>
      </c>
      <c r="F73" s="151">
        <f>15767000+26000000+194865394+16891933</f>
        <v>253524327</v>
      </c>
      <c r="G73" s="151">
        <f>16400000+32000000+185921394+18578933</f>
        <v>252900327</v>
      </c>
      <c r="H73" s="151">
        <f>16100000+4974478933+251774929+34000000</f>
        <v>5276353862</v>
      </c>
    </row>
    <row r="74" spans="1:8" s="149" customFormat="1" ht="16.5" customHeight="1">
      <c r="A74" s="165" t="s">
        <v>182</v>
      </c>
      <c r="B74" s="166">
        <v>320</v>
      </c>
      <c r="C74" s="166"/>
      <c r="D74" s="167">
        <v>6738548096</v>
      </c>
      <c r="E74" s="167">
        <v>5975196596</v>
      </c>
      <c r="F74" s="151"/>
      <c r="G74" s="151"/>
      <c r="H74" s="151"/>
    </row>
    <row r="75" spans="1:8" s="149" customFormat="1" ht="16.5" customHeight="1">
      <c r="A75" s="165" t="s">
        <v>418</v>
      </c>
      <c r="B75" s="166">
        <v>323</v>
      </c>
      <c r="C75" s="166"/>
      <c r="D75" s="167">
        <v>34592127</v>
      </c>
      <c r="E75" s="167">
        <v>37995027</v>
      </c>
      <c r="F75" s="151"/>
      <c r="G75" s="151"/>
      <c r="H75" s="151"/>
    </row>
    <row r="76" spans="1:8" s="149" customFormat="1" ht="16.5" customHeight="1">
      <c r="A76" s="162" t="s">
        <v>183</v>
      </c>
      <c r="B76" s="163">
        <v>330</v>
      </c>
      <c r="C76" s="163"/>
      <c r="D76" s="164">
        <f>SUM(D77:D84)</f>
        <v>18919839895</v>
      </c>
      <c r="E76" s="164">
        <f>SUM(E77:E84)</f>
        <v>1914560398</v>
      </c>
      <c r="F76" s="150">
        <f>F77+F82</f>
        <v>0</v>
      </c>
      <c r="G76" s="150">
        <f>G77+G82</f>
        <v>0</v>
      </c>
      <c r="H76" s="150">
        <f>H77+H82</f>
        <v>1859655300</v>
      </c>
    </row>
    <row r="77" spans="1:8" s="149" customFormat="1" ht="16.5" customHeight="1">
      <c r="A77" s="165" t="s">
        <v>184</v>
      </c>
      <c r="B77" s="166">
        <v>331</v>
      </c>
      <c r="C77" s="166"/>
      <c r="D77" s="167">
        <v>0</v>
      </c>
      <c r="E77" s="167">
        <v>0</v>
      </c>
      <c r="F77" s="151"/>
      <c r="G77" s="151"/>
      <c r="H77" s="151">
        <v>1859655300</v>
      </c>
    </row>
    <row r="78" spans="1:8" s="149" customFormat="1" ht="16.5" customHeight="1">
      <c r="A78" s="165" t="s">
        <v>185</v>
      </c>
      <c r="B78" s="166">
        <v>332</v>
      </c>
      <c r="C78" s="166" t="s">
        <v>186</v>
      </c>
      <c r="D78" s="167"/>
      <c r="E78" s="167"/>
      <c r="F78" s="151"/>
      <c r="G78" s="151"/>
      <c r="H78" s="151"/>
    </row>
    <row r="79" spans="1:8" s="149" customFormat="1" ht="16.5" customHeight="1">
      <c r="A79" s="165" t="s">
        <v>187</v>
      </c>
      <c r="B79" s="166">
        <v>333</v>
      </c>
      <c r="C79" s="166"/>
      <c r="D79" s="167">
        <v>500000000</v>
      </c>
      <c r="E79" s="167">
        <v>1549885000</v>
      </c>
      <c r="F79" s="151"/>
      <c r="G79" s="151"/>
      <c r="H79" s="151"/>
    </row>
    <row r="80" spans="1:8" s="149" customFormat="1" ht="16.5" customHeight="1">
      <c r="A80" s="165" t="s">
        <v>188</v>
      </c>
      <c r="B80" s="166">
        <v>334</v>
      </c>
      <c r="C80" s="166" t="s">
        <v>189</v>
      </c>
      <c r="D80" s="167">
        <v>6594991410</v>
      </c>
      <c r="E80" s="167"/>
      <c r="F80" s="151"/>
      <c r="G80" s="151"/>
      <c r="H80" s="151"/>
    </row>
    <row r="81" spans="1:8" s="149" customFormat="1" ht="16.5" customHeight="1">
      <c r="A81" s="165" t="s">
        <v>190</v>
      </c>
      <c r="B81" s="166">
        <v>335</v>
      </c>
      <c r="C81" s="166" t="s">
        <v>161</v>
      </c>
      <c r="D81" s="167"/>
      <c r="E81" s="167"/>
      <c r="F81" s="151"/>
      <c r="G81" s="151"/>
      <c r="H81" s="151"/>
    </row>
    <row r="82" spans="1:8" s="149" customFormat="1" ht="16.5" customHeight="1">
      <c r="A82" s="165" t="s">
        <v>191</v>
      </c>
      <c r="B82" s="166">
        <v>336</v>
      </c>
      <c r="C82" s="166"/>
      <c r="D82" s="167">
        <v>0</v>
      </c>
      <c r="E82" s="167">
        <v>364675398</v>
      </c>
      <c r="F82" s="151"/>
      <c r="G82" s="151"/>
      <c r="H82" s="151"/>
    </row>
    <row r="83" spans="1:8" s="149" customFormat="1" ht="16.5" customHeight="1">
      <c r="A83" s="165" t="s">
        <v>192</v>
      </c>
      <c r="B83" s="166">
        <v>337</v>
      </c>
      <c r="C83" s="166"/>
      <c r="D83" s="167"/>
      <c r="E83" s="167"/>
      <c r="F83" s="151"/>
      <c r="G83" s="151"/>
      <c r="H83" s="151"/>
    </row>
    <row r="84" spans="1:8" s="149" customFormat="1" ht="16.5" customHeight="1">
      <c r="A84" s="165" t="s">
        <v>618</v>
      </c>
      <c r="B84" s="166">
        <v>338</v>
      </c>
      <c r="C84" s="166"/>
      <c r="D84" s="167">
        <v>11824848485</v>
      </c>
      <c r="E84" s="167"/>
      <c r="F84" s="151"/>
      <c r="G84" s="151"/>
      <c r="H84" s="151"/>
    </row>
    <row r="85" spans="1:8" s="149" customFormat="1" ht="16.5" customHeight="1">
      <c r="A85" s="193" t="s">
        <v>193</v>
      </c>
      <c r="B85" s="170">
        <v>400</v>
      </c>
      <c r="C85" s="170"/>
      <c r="D85" s="171">
        <f>D86+D100</f>
        <v>49123183727</v>
      </c>
      <c r="E85" s="171">
        <f>E86+E100</f>
        <v>52628553590</v>
      </c>
      <c r="F85" s="152" t="e">
        <f>F86+F100</f>
        <v>#REF!</v>
      </c>
      <c r="G85" s="152" t="e">
        <f>G86+G100</f>
        <v>#REF!</v>
      </c>
      <c r="H85" s="152" t="e">
        <f>H86+H100</f>
        <v>#REF!</v>
      </c>
    </row>
    <row r="86" spans="1:8" s="149" customFormat="1" ht="16.5" customHeight="1">
      <c r="A86" s="162" t="s">
        <v>194</v>
      </c>
      <c r="B86" s="163">
        <v>410</v>
      </c>
      <c r="C86" s="163" t="s">
        <v>195</v>
      </c>
      <c r="D86" s="164">
        <f>SUM(D87:D96)</f>
        <v>49123183727</v>
      </c>
      <c r="E86" s="164">
        <f>SUM(E87:E96)</f>
        <v>52628553590</v>
      </c>
      <c r="F86" s="150">
        <f>SUM(F87:F94)</f>
        <v>17491204312</v>
      </c>
      <c r="G86" s="150">
        <f>SUM(G87:G94)</f>
        <v>17923801376</v>
      </c>
      <c r="H86" s="150">
        <f>SUM(H87:H94)</f>
        <v>37392101961</v>
      </c>
    </row>
    <row r="87" spans="1:8" s="149" customFormat="1" ht="16.5" customHeight="1">
      <c r="A87" s="165" t="s">
        <v>196</v>
      </c>
      <c r="B87" s="166">
        <v>411</v>
      </c>
      <c r="C87" s="166"/>
      <c r="D87" s="167">
        <v>27586800000</v>
      </c>
      <c r="E87" s="167">
        <v>27586800000</v>
      </c>
      <c r="F87" s="151">
        <v>14743028722</v>
      </c>
      <c r="G87" s="151">
        <v>14738307322</v>
      </c>
      <c r="H87" s="151">
        <v>27918380987</v>
      </c>
    </row>
    <row r="88" spans="1:8" s="149" customFormat="1" ht="16.5" customHeight="1">
      <c r="A88" s="165" t="s">
        <v>197</v>
      </c>
      <c r="B88" s="166">
        <v>412</v>
      </c>
      <c r="C88" s="166"/>
      <c r="D88" s="167">
        <v>4121612131</v>
      </c>
      <c r="E88" s="167">
        <v>4121612131</v>
      </c>
      <c r="F88" s="151"/>
      <c r="G88" s="151"/>
      <c r="H88" s="151">
        <v>6186259240</v>
      </c>
    </row>
    <row r="89" spans="1:8" s="149" customFormat="1" ht="16.5" customHeight="1">
      <c r="A89" s="165" t="s">
        <v>198</v>
      </c>
      <c r="B89" s="166">
        <v>413</v>
      </c>
      <c r="C89" s="166"/>
      <c r="D89" s="167"/>
      <c r="E89" s="167"/>
      <c r="F89" s="151"/>
      <c r="G89" s="151"/>
      <c r="H89" s="151"/>
    </row>
    <row r="90" spans="1:8" s="149" customFormat="1" ht="16.5" hidden="1" customHeight="1">
      <c r="A90" s="165" t="s">
        <v>199</v>
      </c>
      <c r="B90" s="166">
        <v>414</v>
      </c>
      <c r="C90" s="166"/>
      <c r="D90" s="167"/>
      <c r="E90" s="167"/>
      <c r="F90" s="151"/>
      <c r="G90" s="151"/>
      <c r="H90" s="151"/>
    </row>
    <row r="91" spans="1:8" s="149" customFormat="1" ht="16.5" hidden="1" customHeight="1">
      <c r="A91" s="165" t="s">
        <v>200</v>
      </c>
      <c r="B91" s="166">
        <v>415</v>
      </c>
      <c r="C91" s="166"/>
      <c r="D91" s="167"/>
      <c r="E91" s="167"/>
      <c r="F91" s="151">
        <v>857514047</v>
      </c>
      <c r="G91" s="151">
        <v>857514047</v>
      </c>
      <c r="H91" s="151">
        <v>2042236182</v>
      </c>
    </row>
    <row r="92" spans="1:8" s="149" customFormat="1" ht="16.5" customHeight="1">
      <c r="A92" s="165" t="s">
        <v>201</v>
      </c>
      <c r="B92" s="166">
        <v>416</v>
      </c>
      <c r="C92" s="166"/>
      <c r="D92" s="167"/>
      <c r="E92" s="167"/>
      <c r="F92" s="151">
        <v>638941000</v>
      </c>
      <c r="G92" s="151">
        <v>638941000</v>
      </c>
      <c r="H92" s="151">
        <v>957275000</v>
      </c>
    </row>
    <row r="93" spans="1:8" s="149" customFormat="1" ht="16.5" customHeight="1">
      <c r="A93" s="165" t="s">
        <v>202</v>
      </c>
      <c r="B93" s="166">
        <v>417</v>
      </c>
      <c r="C93" s="166"/>
      <c r="D93" s="167">
        <v>10105505854</v>
      </c>
      <c r="E93" s="167">
        <v>9305505854</v>
      </c>
      <c r="F93" s="151">
        <v>1251720543</v>
      </c>
      <c r="G93" s="151">
        <v>1689039007</v>
      </c>
      <c r="H93" s="151">
        <v>287950552</v>
      </c>
    </row>
    <row r="94" spans="1:8" s="149" customFormat="1" ht="16.5" customHeight="1">
      <c r="A94" s="165" t="s">
        <v>203</v>
      </c>
      <c r="B94" s="166">
        <v>418</v>
      </c>
      <c r="C94" s="166"/>
      <c r="D94" s="167">
        <v>650000000</v>
      </c>
      <c r="E94" s="167">
        <v>650000000</v>
      </c>
      <c r="F94" s="151">
        <v>0</v>
      </c>
      <c r="G94" s="151">
        <v>0</v>
      </c>
      <c r="H94" s="151">
        <v>0</v>
      </c>
    </row>
    <row r="95" spans="1:8" s="149" customFormat="1" ht="16.5" customHeight="1">
      <c r="A95" s="165" t="s">
        <v>204</v>
      </c>
      <c r="B95" s="166">
        <v>419</v>
      </c>
      <c r="C95" s="166"/>
      <c r="D95" s="167"/>
      <c r="E95" s="167"/>
      <c r="F95" s="151"/>
      <c r="G95" s="151"/>
      <c r="H95" s="151"/>
    </row>
    <row r="96" spans="1:8" s="149" customFormat="1" ht="16.5" customHeight="1">
      <c r="A96" s="165" t="s">
        <v>205</v>
      </c>
      <c r="B96" s="166">
        <v>420</v>
      </c>
      <c r="C96" s="166"/>
      <c r="D96" s="167">
        <f>D97+D98</f>
        <v>6659265742</v>
      </c>
      <c r="E96" s="167">
        <v>10964635605</v>
      </c>
      <c r="F96" s="151"/>
      <c r="G96" s="151"/>
      <c r="H96" s="151"/>
    </row>
    <row r="97" spans="1:11" s="149" customFormat="1" ht="16.5" customHeight="1">
      <c r="A97" s="174" t="s">
        <v>55</v>
      </c>
      <c r="B97" s="175"/>
      <c r="C97" s="175"/>
      <c r="D97" s="176">
        <v>3700775605</v>
      </c>
      <c r="E97" s="176"/>
      <c r="F97" s="151"/>
      <c r="G97" s="151"/>
      <c r="H97" s="151"/>
    </row>
    <row r="98" spans="1:11" s="149" customFormat="1" ht="16.5" customHeight="1">
      <c r="A98" s="174" t="s">
        <v>56</v>
      </c>
      <c r="B98" s="175"/>
      <c r="C98" s="175"/>
      <c r="D98" s="176">
        <f>2917467412+41022727-2</f>
        <v>2958490137</v>
      </c>
      <c r="E98" s="176"/>
      <c r="F98" s="151"/>
      <c r="G98" s="151"/>
      <c r="H98" s="151"/>
    </row>
    <row r="99" spans="1:11" s="149" customFormat="1" ht="16.5" customHeight="1">
      <c r="A99" s="165" t="s">
        <v>206</v>
      </c>
      <c r="B99" s="166">
        <v>421</v>
      </c>
      <c r="C99" s="166"/>
      <c r="D99" s="167"/>
      <c r="E99" s="167"/>
      <c r="F99" s="151"/>
      <c r="G99" s="151"/>
      <c r="H99" s="151"/>
    </row>
    <row r="100" spans="1:11" s="149" customFormat="1" ht="16.5" customHeight="1">
      <c r="A100" s="162" t="s">
        <v>207</v>
      </c>
      <c r="B100" s="163">
        <v>430</v>
      </c>
      <c r="C100" s="179"/>
      <c r="D100" s="180">
        <f>SUM(D101:D102)</f>
        <v>0</v>
      </c>
      <c r="E100" s="180">
        <f>SUM(E101:E102)</f>
        <v>0</v>
      </c>
      <c r="F100" s="150" t="e">
        <f>SUM(F101:F102)+#REF!</f>
        <v>#REF!</v>
      </c>
      <c r="G100" s="150" t="e">
        <f>SUM(G101:G102)+#REF!</f>
        <v>#REF!</v>
      </c>
      <c r="H100" s="150" t="e">
        <f>SUM(H101:H102)+#REF!</f>
        <v>#REF!</v>
      </c>
    </row>
    <row r="101" spans="1:11" s="149" customFormat="1" ht="16.5" customHeight="1">
      <c r="A101" s="165" t="s">
        <v>419</v>
      </c>
      <c r="B101" s="166">
        <v>432</v>
      </c>
      <c r="C101" s="166"/>
      <c r="D101" s="167"/>
      <c r="E101" s="167"/>
      <c r="F101" s="151">
        <v>1252276361</v>
      </c>
      <c r="G101" s="151">
        <v>1172276361</v>
      </c>
      <c r="H101" s="151">
        <v>1407062361</v>
      </c>
    </row>
    <row r="102" spans="1:11" s="149" customFormat="1" ht="16.5" customHeight="1">
      <c r="A102" s="165" t="s">
        <v>420</v>
      </c>
      <c r="B102" s="166">
        <v>433</v>
      </c>
      <c r="C102" s="166"/>
      <c r="D102" s="167"/>
      <c r="E102" s="167"/>
      <c r="F102" s="151"/>
      <c r="G102" s="151"/>
      <c r="H102" s="151"/>
      <c r="I102" s="149" t="s">
        <v>648</v>
      </c>
      <c r="J102" s="149" t="s">
        <v>649</v>
      </c>
    </row>
    <row r="103" spans="1:11" s="149" customFormat="1" ht="16.5" customHeight="1">
      <c r="A103" s="185" t="s">
        <v>208</v>
      </c>
      <c r="B103" s="194">
        <v>440</v>
      </c>
      <c r="C103" s="194"/>
      <c r="D103" s="187">
        <f>D85+D63</f>
        <v>163083972525</v>
      </c>
      <c r="E103" s="187">
        <f>E85+E63</f>
        <v>124942129064</v>
      </c>
      <c r="F103" s="158" t="e">
        <f>F85+F63</f>
        <v>#REF!</v>
      </c>
      <c r="G103" s="158" t="e">
        <f>G85+G63</f>
        <v>#REF!</v>
      </c>
      <c r="H103" s="158" t="e">
        <f>H85+H63</f>
        <v>#REF!</v>
      </c>
      <c r="I103" s="340">
        <f>D103-D60</f>
        <v>0</v>
      </c>
      <c r="J103" s="340">
        <f>E103-E60</f>
        <v>0</v>
      </c>
      <c r="K103" s="340" t="s">
        <v>647</v>
      </c>
    </row>
    <row r="104" spans="1:11" ht="24.75" customHeight="1">
      <c r="A104" s="195"/>
      <c r="B104" s="196"/>
      <c r="C104" s="197" t="s">
        <v>622</v>
      </c>
      <c r="D104" s="197"/>
      <c r="E104" s="197"/>
    </row>
    <row r="105" spans="1:11" s="35" customFormat="1" ht="18" customHeight="1">
      <c r="A105" s="435" t="s">
        <v>445</v>
      </c>
      <c r="B105" s="435"/>
      <c r="C105" s="435"/>
      <c r="D105" s="435"/>
      <c r="E105" s="435"/>
      <c r="F105" s="34"/>
      <c r="G105" s="34"/>
      <c r="H105" s="34" t="s">
        <v>209</v>
      </c>
    </row>
    <row r="106" spans="1:11" s="35" customFormat="1" ht="12.75" customHeight="1">
      <c r="A106" s="198"/>
      <c r="B106" s="199"/>
      <c r="C106" s="199"/>
      <c r="D106" s="17"/>
      <c r="E106" s="9"/>
      <c r="F106" s="34"/>
      <c r="G106" s="34"/>
      <c r="H106" s="34"/>
    </row>
    <row r="107" spans="1:11" ht="15.75">
      <c r="A107" s="200"/>
      <c r="B107" s="196"/>
      <c r="C107" s="196"/>
      <c r="D107" s="128"/>
      <c r="E107" s="128"/>
    </row>
    <row r="108" spans="1:11" ht="15.75">
      <c r="A108" s="200"/>
      <c r="B108" s="196"/>
      <c r="C108" s="196"/>
      <c r="D108" s="128"/>
      <c r="E108" s="128"/>
    </row>
    <row r="109" spans="1:11" ht="15.75">
      <c r="A109" s="200"/>
      <c r="B109" s="196"/>
      <c r="C109" s="196"/>
      <c r="D109" s="128"/>
      <c r="E109" s="128"/>
    </row>
    <row r="110" spans="1:11" ht="13.5" customHeight="1">
      <c r="A110" s="200"/>
      <c r="B110" s="196"/>
      <c r="C110" s="196"/>
      <c r="D110" s="128"/>
      <c r="E110" s="128"/>
    </row>
    <row r="111" spans="1:11" s="149" customFormat="1">
      <c r="A111" s="251" t="s">
        <v>538</v>
      </c>
      <c r="B111" s="251"/>
      <c r="C111" s="251"/>
      <c r="D111" s="251"/>
      <c r="E111" s="251"/>
    </row>
    <row r="112" spans="1:11">
      <c r="D112" s="1"/>
    </row>
  </sheetData>
  <mergeCells count="6">
    <mergeCell ref="A5:E5"/>
    <mergeCell ref="A105:E105"/>
    <mergeCell ref="C1:F1"/>
    <mergeCell ref="C2:F2"/>
    <mergeCell ref="A3:F3"/>
    <mergeCell ref="A4:E4"/>
  </mergeCells>
  <phoneticPr fontId="14" type="noConversion"/>
  <pageMargins left="0.87" right="0.25" top="0.32" bottom="0.23" header="0.22" footer="0.17"/>
  <pageSetup paperSize="9" orientation="portrait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tabSelected="1" topLeftCell="B31" workbookViewId="0">
      <selection activeCell="J45" sqref="J45"/>
    </sheetView>
  </sheetViews>
  <sheetFormatPr defaultRowHeight="15"/>
  <cols>
    <col min="1" max="1" width="40.7109375" style="2" customWidth="1"/>
    <col min="2" max="2" width="4.28515625" style="2" customWidth="1"/>
    <col min="3" max="3" width="5.5703125" style="2" customWidth="1"/>
    <col min="4" max="4" width="16" style="2" customWidth="1"/>
    <col min="5" max="5" width="15.85546875" style="2" customWidth="1"/>
    <col min="6" max="7" width="14.85546875" style="312" hidden="1" customWidth="1"/>
    <col min="8" max="9" width="15.140625" style="312" hidden="1" customWidth="1"/>
    <col min="10" max="11" width="16.5703125" style="313" customWidth="1"/>
    <col min="12" max="16384" width="9.140625" style="2"/>
  </cols>
  <sheetData>
    <row r="1" spans="1:11" customFormat="1" ht="16.5">
      <c r="A1" s="326" t="s">
        <v>527</v>
      </c>
      <c r="B1" s="37"/>
      <c r="C1" s="37"/>
      <c r="D1" s="37"/>
      <c r="E1" s="37"/>
      <c r="F1" s="306"/>
      <c r="G1" s="306"/>
      <c r="H1" s="306"/>
      <c r="I1" s="306"/>
      <c r="J1" s="440" t="s">
        <v>490</v>
      </c>
      <c r="K1" s="440"/>
    </row>
    <row r="2" spans="1:11" customFormat="1" ht="15.75">
      <c r="A2" s="142" t="s">
        <v>595</v>
      </c>
      <c r="B2" s="37"/>
      <c r="C2" s="37"/>
      <c r="D2" s="37"/>
      <c r="E2" s="37"/>
      <c r="F2" s="306"/>
      <c r="G2" s="306"/>
      <c r="H2" s="306"/>
      <c r="I2" s="306"/>
      <c r="J2" s="441" t="s">
        <v>489</v>
      </c>
      <c r="K2" s="441"/>
    </row>
    <row r="3" spans="1:11" customFormat="1" ht="12.75">
      <c r="A3" s="243" t="s">
        <v>594</v>
      </c>
      <c r="B3" s="38"/>
      <c r="C3" s="38"/>
      <c r="D3" s="38"/>
      <c r="E3" s="38"/>
      <c r="F3" s="307"/>
      <c r="G3" s="307"/>
      <c r="H3" s="307"/>
      <c r="I3" s="307"/>
      <c r="J3" s="442" t="s">
        <v>491</v>
      </c>
      <c r="K3" s="442"/>
    </row>
    <row r="4" spans="1:11" customFormat="1" ht="14.25">
      <c r="A4" s="229"/>
      <c r="B4" s="230"/>
      <c r="C4" s="230"/>
      <c r="D4" s="230"/>
      <c r="E4" s="230"/>
      <c r="F4" s="307"/>
      <c r="G4" s="307"/>
      <c r="H4" s="307"/>
      <c r="I4" s="307"/>
      <c r="J4" s="308"/>
      <c r="K4" s="308"/>
    </row>
    <row r="5" spans="1:11" ht="28.5" customHeight="1">
      <c r="A5" s="443" t="s">
        <v>525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6" spans="1:11" ht="15.75" customHeight="1">
      <c r="A6" s="447" t="s">
        <v>449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</row>
    <row r="7" spans="1:11">
      <c r="A7" s="448" t="s">
        <v>605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</row>
    <row r="8" spans="1:11" s="227" customFormat="1" ht="20.25" customHeight="1">
      <c r="A8" s="231"/>
      <c r="B8" s="37"/>
      <c r="C8" s="37"/>
      <c r="D8" s="37"/>
      <c r="E8" s="37"/>
      <c r="F8" s="306"/>
      <c r="G8" s="306"/>
      <c r="H8" s="306"/>
      <c r="I8" s="306"/>
      <c r="J8" s="449" t="s">
        <v>450</v>
      </c>
      <c r="K8" s="449"/>
    </row>
    <row r="9" spans="1:11" s="219" customFormat="1" ht="16.5" customHeight="1">
      <c r="A9" s="232"/>
      <c r="B9" s="233" t="s">
        <v>451</v>
      </c>
      <c r="C9" s="450" t="s">
        <v>452</v>
      </c>
      <c r="D9" s="452" t="s">
        <v>432</v>
      </c>
      <c r="E9" s="453"/>
      <c r="F9" s="445" t="s">
        <v>591</v>
      </c>
      <c r="G9" s="446"/>
      <c r="H9" s="445" t="s">
        <v>532</v>
      </c>
      <c r="I9" s="446"/>
      <c r="J9" s="445" t="s">
        <v>537</v>
      </c>
      <c r="K9" s="446"/>
    </row>
    <row r="10" spans="1:11" s="219" customFormat="1" ht="16.5" customHeight="1">
      <c r="A10" s="234" t="s">
        <v>453</v>
      </c>
      <c r="B10" s="235" t="s">
        <v>454</v>
      </c>
      <c r="C10" s="451"/>
      <c r="D10" s="309" t="s">
        <v>64</v>
      </c>
      <c r="E10" s="310" t="s">
        <v>65</v>
      </c>
      <c r="F10" s="309" t="s">
        <v>64</v>
      </c>
      <c r="G10" s="310" t="s">
        <v>65</v>
      </c>
      <c r="H10" s="309" t="s">
        <v>64</v>
      </c>
      <c r="I10" s="310" t="s">
        <v>65</v>
      </c>
      <c r="J10" s="309" t="s">
        <v>64</v>
      </c>
      <c r="K10" s="310" t="s">
        <v>65</v>
      </c>
    </row>
    <row r="11" spans="1:11" s="237" customFormat="1" ht="15" customHeight="1">
      <c r="A11" s="236">
        <v>1</v>
      </c>
      <c r="B11" s="236">
        <v>2</v>
      </c>
      <c r="C11" s="236">
        <v>3</v>
      </c>
      <c r="D11" s="236">
        <v>4</v>
      </c>
      <c r="E11" s="236">
        <v>5</v>
      </c>
      <c r="F11" s="311"/>
      <c r="G11" s="311"/>
      <c r="H11" s="311"/>
      <c r="I11" s="311"/>
      <c r="J11" s="331">
        <v>6</v>
      </c>
      <c r="K11" s="331">
        <v>7</v>
      </c>
    </row>
    <row r="12" spans="1:11" s="200" customFormat="1" ht="17.25" customHeight="1">
      <c r="A12" s="240" t="s">
        <v>455</v>
      </c>
      <c r="B12" s="255"/>
      <c r="C12" s="255"/>
      <c r="D12" s="341"/>
      <c r="E12" s="341"/>
      <c r="F12" s="342"/>
      <c r="G12" s="342"/>
      <c r="H12" s="343"/>
      <c r="I12" s="342"/>
      <c r="J12" s="343"/>
      <c r="K12" s="344"/>
    </row>
    <row r="13" spans="1:11" s="200" customFormat="1" ht="17.25" customHeight="1">
      <c r="A13" s="238" t="s">
        <v>456</v>
      </c>
      <c r="B13" s="280" t="s">
        <v>67</v>
      </c>
      <c r="C13" s="286"/>
      <c r="D13" s="345">
        <v>68631201007</v>
      </c>
      <c r="E13" s="343">
        <v>45100523843</v>
      </c>
      <c r="F13" s="346">
        <v>36025951012</v>
      </c>
      <c r="G13" s="346">
        <v>31924206681</v>
      </c>
      <c r="H13" s="346">
        <v>49471771436</v>
      </c>
      <c r="I13" s="347">
        <v>40423626880</v>
      </c>
      <c r="J13" s="348">
        <v>208556400698</v>
      </c>
      <c r="K13" s="348">
        <v>151244616340</v>
      </c>
    </row>
    <row r="14" spans="1:11" s="200" customFormat="1" ht="17.25" customHeight="1">
      <c r="A14" s="238" t="s">
        <v>457</v>
      </c>
      <c r="B14" s="280" t="s">
        <v>70</v>
      </c>
      <c r="C14" s="286"/>
      <c r="D14" s="349">
        <f>-29287478451-4236433709+7799584758</f>
        <v>-25724327402</v>
      </c>
      <c r="E14" s="348">
        <v>-30558452147</v>
      </c>
      <c r="F14" s="346">
        <f>-19867882381+1565488438</f>
        <v>-18302393943</v>
      </c>
      <c r="G14" s="346">
        <v>-25054826490</v>
      </c>
      <c r="H14" s="346">
        <f>-37911128121+13855723017</f>
        <v>-24055405104</v>
      </c>
      <c r="I14" s="347">
        <v>-29812494917</v>
      </c>
      <c r="J14" s="349">
        <v>-108297447400</v>
      </c>
      <c r="K14" s="349">
        <v>-106510655184</v>
      </c>
    </row>
    <row r="15" spans="1:11" s="128" customFormat="1" ht="17.25" customHeight="1">
      <c r="A15" s="238" t="s">
        <v>458</v>
      </c>
      <c r="B15" s="280" t="s">
        <v>459</v>
      </c>
      <c r="C15" s="286"/>
      <c r="D15" s="349">
        <f>-4619678884+1236112380+158714100</f>
        <v>-3224852404</v>
      </c>
      <c r="E15" s="350">
        <v>-4159107775</v>
      </c>
      <c r="F15" s="346">
        <v>-5053667575</v>
      </c>
      <c r="G15" s="346">
        <v>-5294807780</v>
      </c>
      <c r="H15" s="346">
        <v>-4938937199</v>
      </c>
      <c r="I15" s="347">
        <v>-4759885230</v>
      </c>
      <c r="J15" s="349">
        <v>-20612879227</v>
      </c>
      <c r="K15" s="349">
        <v>-20372217889</v>
      </c>
    </row>
    <row r="16" spans="1:11" s="128" customFormat="1" ht="17.25" customHeight="1">
      <c r="A16" s="238" t="s">
        <v>460</v>
      </c>
      <c r="B16" s="280" t="s">
        <v>461</v>
      </c>
      <c r="C16" s="286"/>
      <c r="D16" s="349">
        <v>-751355033</v>
      </c>
      <c r="E16" s="350">
        <v>-395878532</v>
      </c>
      <c r="F16" s="346">
        <v>-728938522</v>
      </c>
      <c r="G16" s="346">
        <v>-327240891</v>
      </c>
      <c r="H16" s="346">
        <v>-308423894</v>
      </c>
      <c r="I16" s="347">
        <v>-31646192</v>
      </c>
      <c r="J16" s="349">
        <v>-1885569652</v>
      </c>
      <c r="K16" s="349">
        <v>-824756040</v>
      </c>
    </row>
    <row r="17" spans="1:11" s="128" customFormat="1" ht="17.25" customHeight="1">
      <c r="A17" s="238" t="s">
        <v>462</v>
      </c>
      <c r="B17" s="280" t="s">
        <v>463</v>
      </c>
      <c r="C17" s="286"/>
      <c r="D17" s="349">
        <v>-509176814</v>
      </c>
      <c r="E17" s="350">
        <v>-575856923</v>
      </c>
      <c r="F17" s="346">
        <v>-904499275</v>
      </c>
      <c r="G17" s="346">
        <v>-1389287604</v>
      </c>
      <c r="H17" s="346">
        <v>-697415385</v>
      </c>
      <c r="I17" s="347">
        <v>-554209919</v>
      </c>
      <c r="J17" s="349">
        <v>-2544411825</v>
      </c>
      <c r="K17" s="349">
        <v>-2778670232</v>
      </c>
    </row>
    <row r="18" spans="1:11" s="128" customFormat="1" ht="17.25" customHeight="1">
      <c r="A18" s="238" t="s">
        <v>464</v>
      </c>
      <c r="B18" s="280" t="s">
        <v>465</v>
      </c>
      <c r="C18" s="286"/>
      <c r="D18" s="351">
        <f>8001403629-6052100000</f>
        <v>1949303629</v>
      </c>
      <c r="E18" s="352">
        <v>172915054</v>
      </c>
      <c r="F18" s="346">
        <f>8091411762-128526291</f>
        <v>7962885471</v>
      </c>
      <c r="G18" s="346">
        <v>1024903167</v>
      </c>
      <c r="H18" s="353">
        <f>1269597808+10580223</f>
        <v>1280178031</v>
      </c>
      <c r="I18" s="348">
        <v>345331353</v>
      </c>
      <c r="J18" s="349">
        <v>12869688507</v>
      </c>
      <c r="K18" s="349">
        <v>3058682156</v>
      </c>
    </row>
    <row r="19" spans="1:11" s="128" customFormat="1" ht="17.25" customHeight="1">
      <c r="A19" s="238" t="s">
        <v>466</v>
      </c>
      <c r="B19" s="280" t="s">
        <v>467</v>
      </c>
      <c r="C19" s="286"/>
      <c r="D19" s="349">
        <f>-6746242506-13099429381</f>
        <v>-19845671887</v>
      </c>
      <c r="E19" s="349">
        <v>-3892478986</v>
      </c>
      <c r="F19" s="346">
        <v>-8223477780</v>
      </c>
      <c r="G19" s="346">
        <v>-3205074277</v>
      </c>
      <c r="H19" s="346">
        <f>-13711305322-26300000+5517360000</f>
        <v>-8220245322</v>
      </c>
      <c r="I19" s="347">
        <v>-4413200766</v>
      </c>
      <c r="J19" s="349">
        <v>-40022174615</v>
      </c>
      <c r="K19" s="349">
        <v>-16727005162</v>
      </c>
    </row>
    <row r="20" spans="1:11" s="128" customFormat="1" ht="17.25" customHeight="1">
      <c r="A20" s="239" t="s">
        <v>468</v>
      </c>
      <c r="B20" s="282">
        <v>20</v>
      </c>
      <c r="C20" s="288"/>
      <c r="D20" s="354">
        <f>SUM(D13:D19)</f>
        <v>20525121096</v>
      </c>
      <c r="E20" s="354">
        <f t="shared" ref="E20:K20" si="0">SUM(E13:E19)</f>
        <v>5691664534</v>
      </c>
      <c r="F20" s="354">
        <f t="shared" si="0"/>
        <v>10775859388</v>
      </c>
      <c r="G20" s="354">
        <f t="shared" si="0"/>
        <v>-2322127194</v>
      </c>
      <c r="H20" s="354">
        <f t="shared" si="0"/>
        <v>12531522563</v>
      </c>
      <c r="I20" s="354">
        <f t="shared" si="0"/>
        <v>1197521209</v>
      </c>
      <c r="J20" s="354">
        <f t="shared" si="0"/>
        <v>48063606486</v>
      </c>
      <c r="K20" s="354">
        <f t="shared" si="0"/>
        <v>7089993989</v>
      </c>
    </row>
    <row r="21" spans="1:11" s="128" customFormat="1" ht="17.25" customHeight="1">
      <c r="A21" s="240" t="s">
        <v>469</v>
      </c>
      <c r="B21" s="281"/>
      <c r="C21" s="287"/>
      <c r="D21" s="356"/>
      <c r="E21" s="357"/>
      <c r="F21" s="349"/>
      <c r="G21" s="349"/>
      <c r="H21" s="347"/>
      <c r="I21" s="355"/>
      <c r="J21" s="354"/>
      <c r="K21" s="354"/>
    </row>
    <row r="22" spans="1:11" s="128" customFormat="1" ht="17.25" customHeight="1">
      <c r="A22" s="238" t="s">
        <v>592</v>
      </c>
      <c r="B22" s="283">
        <v>21</v>
      </c>
      <c r="C22" s="289"/>
      <c r="D22" s="349">
        <f>-3818253833-6504871500-228645339</f>
        <v>-10551770672</v>
      </c>
      <c r="E22" s="349">
        <v>-3950426594</v>
      </c>
      <c r="F22" s="349">
        <f>-8669341028-1565488438</f>
        <v>-10234829466</v>
      </c>
      <c r="G22" s="349">
        <v>-6561554426</v>
      </c>
      <c r="H22" s="347">
        <v>-14256574073</v>
      </c>
      <c r="I22" s="347">
        <v>-5434278984</v>
      </c>
      <c r="J22" s="349">
        <v>-39763094820</v>
      </c>
      <c r="K22" s="349">
        <v>-16733418459</v>
      </c>
    </row>
    <row r="23" spans="1:11" s="128" customFormat="1" ht="17.25" customHeight="1">
      <c r="A23" s="238" t="s">
        <v>470</v>
      </c>
      <c r="B23" s="283">
        <v>22</v>
      </c>
      <c r="C23" s="289"/>
      <c r="D23" s="358"/>
      <c r="E23" s="349"/>
      <c r="F23" s="349"/>
      <c r="G23" s="349"/>
      <c r="H23" s="359"/>
      <c r="I23" s="347"/>
      <c r="J23" s="349"/>
      <c r="K23" s="349"/>
    </row>
    <row r="24" spans="1:11" s="128" customFormat="1" ht="17.25" customHeight="1">
      <c r="A24" s="238" t="s">
        <v>471</v>
      </c>
      <c r="B24" s="283">
        <v>23</v>
      </c>
      <c r="C24" s="289"/>
      <c r="D24" s="348">
        <v>-5000000000</v>
      </c>
      <c r="E24" s="349">
        <v>-6200000000</v>
      </c>
      <c r="F24" s="349">
        <v>-4000000000</v>
      </c>
      <c r="G24" s="349">
        <v>-5000000000</v>
      </c>
      <c r="H24" s="347">
        <v>-5517360000</v>
      </c>
      <c r="I24" s="347">
        <v>-13963710676</v>
      </c>
      <c r="J24" s="349">
        <v>-15517360000</v>
      </c>
      <c r="K24" s="349">
        <v>-20163710676</v>
      </c>
    </row>
    <row r="25" spans="1:11" s="128" customFormat="1" ht="17.25" customHeight="1">
      <c r="A25" s="238" t="s">
        <v>472</v>
      </c>
      <c r="B25" s="283">
        <v>24</v>
      </c>
      <c r="C25" s="289"/>
      <c r="D25" s="360">
        <v>6200000000</v>
      </c>
      <c r="E25" s="357">
        <v>6200000000</v>
      </c>
      <c r="F25" s="349">
        <v>2000000000</v>
      </c>
      <c r="G25" s="349">
        <v>10963710676</v>
      </c>
      <c r="H25" s="349">
        <v>10717360000</v>
      </c>
      <c r="I25" s="347">
        <v>3000000000</v>
      </c>
      <c r="J25" s="349">
        <v>23917360000</v>
      </c>
      <c r="K25" s="349">
        <v>15163710676</v>
      </c>
    </row>
    <row r="26" spans="1:11" s="128" customFormat="1" ht="17.25" customHeight="1">
      <c r="A26" s="238" t="s">
        <v>473</v>
      </c>
      <c r="B26" s="283">
        <v>25</v>
      </c>
      <c r="C26" s="289"/>
      <c r="D26" s="358"/>
      <c r="E26" s="357"/>
      <c r="F26" s="349"/>
      <c r="G26" s="349"/>
      <c r="H26" s="359"/>
      <c r="I26" s="359"/>
      <c r="J26" s="349"/>
      <c r="K26" s="349"/>
    </row>
    <row r="27" spans="1:11" s="128" customFormat="1" ht="17.25" customHeight="1">
      <c r="A27" s="238" t="s">
        <v>474</v>
      </c>
      <c r="B27" s="283">
        <v>26</v>
      </c>
      <c r="C27" s="289"/>
      <c r="D27" s="358"/>
      <c r="E27" s="357"/>
      <c r="F27" s="349"/>
      <c r="G27" s="349"/>
      <c r="H27" s="359"/>
      <c r="I27" s="347"/>
      <c r="J27" s="349"/>
      <c r="K27" s="349"/>
    </row>
    <row r="28" spans="1:11" s="128" customFormat="1" ht="17.25" customHeight="1">
      <c r="A28" s="238" t="s">
        <v>475</v>
      </c>
      <c r="B28" s="283">
        <v>27</v>
      </c>
      <c r="C28" s="289"/>
      <c r="D28" s="361">
        <v>266652094</v>
      </c>
      <c r="E28" s="357">
        <v>44074627</v>
      </c>
      <c r="F28" s="349">
        <v>128526291</v>
      </c>
      <c r="G28" s="349">
        <v>439035762</v>
      </c>
      <c r="H28" s="349">
        <v>503779777</v>
      </c>
      <c r="I28" s="347">
        <v>77426436</v>
      </c>
      <c r="J28" s="349">
        <v>953203281</v>
      </c>
      <c r="K28" s="349">
        <v>675423709</v>
      </c>
    </row>
    <row r="29" spans="1:11" s="128" customFormat="1" ht="17.25" customHeight="1">
      <c r="A29" s="239" t="s">
        <v>476</v>
      </c>
      <c r="B29" s="282">
        <v>30</v>
      </c>
      <c r="C29" s="288"/>
      <c r="D29" s="354">
        <f>SUM(D22:D28)</f>
        <v>-9085118578</v>
      </c>
      <c r="E29" s="354">
        <f>SUM(E22:E28)</f>
        <v>-3906351967</v>
      </c>
      <c r="F29" s="354">
        <f t="shared" ref="E29:K29" si="1">SUM(F22:F28)</f>
        <v>-12106303175</v>
      </c>
      <c r="G29" s="354">
        <f t="shared" si="1"/>
        <v>-158807988</v>
      </c>
      <c r="H29" s="354">
        <f t="shared" si="1"/>
        <v>-8552794296</v>
      </c>
      <c r="I29" s="354">
        <f t="shared" si="1"/>
        <v>-16320563224</v>
      </c>
      <c r="J29" s="354">
        <f t="shared" si="1"/>
        <v>-30409891539</v>
      </c>
      <c r="K29" s="354">
        <f>SUM(K22:K28)</f>
        <v>-21057994750</v>
      </c>
    </row>
    <row r="30" spans="1:11" s="128" customFormat="1" ht="17.25" customHeight="1">
      <c r="A30" s="240" t="s">
        <v>477</v>
      </c>
      <c r="B30" s="281"/>
      <c r="C30" s="287"/>
      <c r="D30" s="356"/>
      <c r="E30" s="357"/>
      <c r="F30" s="349"/>
      <c r="G30" s="349"/>
      <c r="H30" s="347"/>
      <c r="I30" s="347"/>
      <c r="J30" s="349"/>
      <c r="K30" s="349"/>
    </row>
    <row r="31" spans="1:11" s="128" customFormat="1" ht="17.25" customHeight="1">
      <c r="A31" s="238" t="s">
        <v>478</v>
      </c>
      <c r="B31" s="283">
        <v>31</v>
      </c>
      <c r="C31" s="289"/>
      <c r="D31" s="358"/>
      <c r="E31" s="357"/>
      <c r="F31" s="349"/>
      <c r="G31" s="349">
        <v>3656856000</v>
      </c>
      <c r="H31" s="359"/>
      <c r="I31" s="347">
        <v>10964044000</v>
      </c>
      <c r="J31" s="349"/>
      <c r="K31" s="349">
        <v>14620900000</v>
      </c>
    </row>
    <row r="32" spans="1:11" s="128" customFormat="1" ht="17.25" customHeight="1">
      <c r="A32" s="238" t="s">
        <v>586</v>
      </c>
      <c r="B32" s="283"/>
      <c r="C32" s="289"/>
      <c r="D32" s="358"/>
      <c r="E32" s="357"/>
      <c r="F32" s="349"/>
      <c r="G32" s="349"/>
      <c r="H32" s="359"/>
      <c r="I32" s="359"/>
      <c r="J32" s="349"/>
      <c r="K32" s="349"/>
    </row>
    <row r="33" spans="1:11" s="128" customFormat="1" ht="17.25" customHeight="1">
      <c r="A33" s="238" t="s">
        <v>479</v>
      </c>
      <c r="B33" s="283"/>
      <c r="C33" s="289"/>
      <c r="D33" s="358"/>
      <c r="E33" s="357"/>
      <c r="F33" s="349"/>
      <c r="G33" s="349"/>
      <c r="H33" s="359"/>
      <c r="I33" s="359"/>
      <c r="J33" s="349"/>
      <c r="K33" s="349"/>
    </row>
    <row r="34" spans="1:11" s="128" customFormat="1" ht="17.25" customHeight="1">
      <c r="A34" s="238" t="s">
        <v>480</v>
      </c>
      <c r="B34" s="283">
        <v>33</v>
      </c>
      <c r="C34" s="289"/>
      <c r="D34" s="361">
        <v>7799584758</v>
      </c>
      <c r="E34" s="349">
        <v>4348959910</v>
      </c>
      <c r="F34" s="349"/>
      <c r="G34" s="349">
        <v>3330868967</v>
      </c>
      <c r="H34" s="349">
        <v>10000000000</v>
      </c>
      <c r="I34" s="347">
        <v>3931834380</v>
      </c>
      <c r="J34" s="349">
        <v>25786181614</v>
      </c>
      <c r="K34" s="349">
        <v>11611663257</v>
      </c>
    </row>
    <row r="35" spans="1:11" s="128" customFormat="1" ht="17.25" customHeight="1">
      <c r="A35" s="238" t="s">
        <v>481</v>
      </c>
      <c r="B35" s="283">
        <v>34</v>
      </c>
      <c r="C35" s="289"/>
      <c r="D35" s="349">
        <f>-(4999716615+823000000)</f>
        <v>-5822716615</v>
      </c>
      <c r="E35" s="349">
        <v>-2927193380</v>
      </c>
      <c r="F35" s="349"/>
      <c r="G35" s="349">
        <v>-2313208667</v>
      </c>
      <c r="H35" s="347">
        <v>-10981261202</v>
      </c>
      <c r="I35" s="347"/>
      <c r="J35" s="349">
        <v>-28754387182</v>
      </c>
      <c r="K35" s="349">
        <v>-8043331757</v>
      </c>
    </row>
    <row r="36" spans="1:11" s="128" customFormat="1" ht="17.25" customHeight="1">
      <c r="A36" s="238" t="s">
        <v>482</v>
      </c>
      <c r="B36" s="283">
        <v>35</v>
      </c>
      <c r="C36" s="289"/>
      <c r="D36" s="358"/>
      <c r="E36" s="357"/>
      <c r="F36" s="349"/>
      <c r="G36" s="349"/>
      <c r="H36" s="359"/>
      <c r="I36" s="359"/>
      <c r="J36" s="349"/>
      <c r="K36" s="349"/>
    </row>
    <row r="37" spans="1:11" s="128" customFormat="1" ht="17.25" customHeight="1">
      <c r="A37" s="238" t="s">
        <v>483</v>
      </c>
      <c r="B37" s="283">
        <v>36</v>
      </c>
      <c r="C37" s="289"/>
      <c r="D37" s="349">
        <v>-4688056000</v>
      </c>
      <c r="E37" s="357"/>
      <c r="F37" s="349"/>
      <c r="G37" s="349"/>
      <c r="H37" s="347">
        <v>-5517360000</v>
      </c>
      <c r="I37" s="347">
        <v>-857165000</v>
      </c>
      <c r="J37" s="349">
        <v>-10205416000</v>
      </c>
      <c r="K37" s="349">
        <v>-2571495000</v>
      </c>
    </row>
    <row r="38" spans="1:11" s="128" customFormat="1" ht="17.25" customHeight="1">
      <c r="A38" s="239" t="s">
        <v>484</v>
      </c>
      <c r="B38" s="282">
        <v>40</v>
      </c>
      <c r="C38" s="288"/>
      <c r="D38" s="355">
        <f>SUM(D31:D37)</f>
        <v>-2711187857</v>
      </c>
      <c r="E38" s="362">
        <f>SUM(E31:E37)</f>
        <v>1421766530</v>
      </c>
      <c r="F38" s="354">
        <f>SUM(F31:F37)</f>
        <v>0</v>
      </c>
      <c r="G38" s="354">
        <v>4674516300</v>
      </c>
      <c r="H38" s="355">
        <f>SUM(H31:H37)</f>
        <v>-6498621202</v>
      </c>
      <c r="I38" s="355">
        <f>SUM(I31:I37)</f>
        <v>14038713380</v>
      </c>
      <c r="J38" s="354">
        <v>-13173621568</v>
      </c>
      <c r="K38" s="362">
        <f>SUM(K31:K37)</f>
        <v>15617736500</v>
      </c>
    </row>
    <row r="39" spans="1:11" s="128" customFormat="1" ht="17.25" customHeight="1">
      <c r="A39" s="240" t="s">
        <v>485</v>
      </c>
      <c r="B39" s="284">
        <v>50</v>
      </c>
      <c r="C39" s="290"/>
      <c r="D39" s="363">
        <f>D20+D29+D38</f>
        <v>8728814661</v>
      </c>
      <c r="E39" s="364">
        <f>E20+E29+E38</f>
        <v>3207079097</v>
      </c>
      <c r="F39" s="363">
        <f>F20+F29+F38</f>
        <v>-1330443787</v>
      </c>
      <c r="G39" s="363">
        <v>2193581118</v>
      </c>
      <c r="H39" s="365">
        <f>H20+H29+H38</f>
        <v>-2519892935</v>
      </c>
      <c r="I39" s="365">
        <f>I20+I29+I38</f>
        <v>-1084328635</v>
      </c>
      <c r="J39" s="364">
        <f>J20+J29+J38</f>
        <v>4480093379</v>
      </c>
      <c r="K39" s="364">
        <f>K20+K29+K38</f>
        <v>1649735739</v>
      </c>
    </row>
    <row r="40" spans="1:11" s="128" customFormat="1" ht="17.25" customHeight="1">
      <c r="A40" s="240" t="s">
        <v>486</v>
      </c>
      <c r="B40" s="284">
        <v>60</v>
      </c>
      <c r="C40" s="291"/>
      <c r="D40" s="366">
        <v>7229425791</v>
      </c>
      <c r="E40" s="367">
        <f>G42</f>
        <v>3271067976</v>
      </c>
      <c r="F40" s="368">
        <f>H42</f>
        <v>8559869578</v>
      </c>
      <c r="G40" s="368">
        <v>1077486858</v>
      </c>
      <c r="H40" s="368">
        <v>11079762513</v>
      </c>
      <c r="I40" s="369">
        <v>2161815493</v>
      </c>
      <c r="J40" s="366">
        <v>11478147073</v>
      </c>
      <c r="K40" s="370">
        <v>4828411334</v>
      </c>
    </row>
    <row r="41" spans="1:11" s="128" customFormat="1" ht="17.25" customHeight="1">
      <c r="A41" s="256" t="s">
        <v>526</v>
      </c>
      <c r="B41" s="283">
        <v>61</v>
      </c>
      <c r="C41" s="289"/>
      <c r="D41" s="358"/>
      <c r="E41" s="357"/>
      <c r="F41" s="349"/>
      <c r="G41" s="349"/>
      <c r="H41" s="359"/>
      <c r="I41" s="355"/>
      <c r="J41" s="354"/>
      <c r="K41" s="354"/>
    </row>
    <row r="42" spans="1:11" s="128" customFormat="1" ht="17.25" customHeight="1">
      <c r="A42" s="241" t="s">
        <v>487</v>
      </c>
      <c r="B42" s="285">
        <v>70</v>
      </c>
      <c r="C42" s="292" t="s">
        <v>488</v>
      </c>
      <c r="D42" s="371">
        <f>SUM(D39:D41)</f>
        <v>15958240452</v>
      </c>
      <c r="E42" s="371">
        <f>SUM(E39:E41)</f>
        <v>6478147073</v>
      </c>
      <c r="F42" s="371">
        <f>SUM(F39:F41)</f>
        <v>7229425791</v>
      </c>
      <c r="G42" s="371">
        <v>3271067976</v>
      </c>
      <c r="H42" s="372">
        <f>SUM(H39:H41)</f>
        <v>8559869578</v>
      </c>
      <c r="I42" s="372">
        <f>SUM(I39:I41)</f>
        <v>1077486858</v>
      </c>
      <c r="J42" s="371">
        <f>SUM(J39:J41)</f>
        <v>15958240452</v>
      </c>
      <c r="K42" s="371">
        <f>SUM(K39:K41)</f>
        <v>6478147073</v>
      </c>
    </row>
    <row r="43" spans="1:11" ht="9" customHeight="1">
      <c r="E43" s="332"/>
    </row>
    <row r="44" spans="1:11" s="223" customFormat="1" ht="13.5" customHeight="1">
      <c r="A44" s="224"/>
      <c r="B44" s="225"/>
      <c r="C44" s="226"/>
      <c r="D44" s="329"/>
      <c r="E44" s="242" t="s">
        <v>622</v>
      </c>
      <c r="F44" s="314"/>
      <c r="G44" s="315" t="s">
        <v>593</v>
      </c>
      <c r="H44" s="316" t="s">
        <v>621</v>
      </c>
      <c r="I44" s="316"/>
      <c r="J44" s="317"/>
      <c r="K44" s="318"/>
    </row>
    <row r="45" spans="1:11" s="35" customFormat="1" ht="16.5" customHeight="1">
      <c r="A45" s="218" t="s">
        <v>535</v>
      </c>
      <c r="B45" s="218"/>
      <c r="C45" s="218"/>
      <c r="D45" s="218"/>
      <c r="E45" s="218"/>
      <c r="F45" s="319"/>
      <c r="G45" s="319"/>
      <c r="H45" s="319"/>
      <c r="I45" s="319"/>
      <c r="J45" s="320"/>
      <c r="K45" s="320"/>
    </row>
    <row r="46" spans="1:11" s="35" customFormat="1" ht="12.75" customHeight="1">
      <c r="A46" s="198"/>
      <c r="B46" s="199"/>
      <c r="C46" s="199"/>
      <c r="D46" s="199"/>
      <c r="E46" s="199"/>
      <c r="F46" s="321"/>
      <c r="G46" s="321"/>
      <c r="H46" s="321"/>
      <c r="I46" s="321"/>
      <c r="J46" s="444"/>
      <c r="K46" s="444"/>
    </row>
    <row r="47" spans="1:11" ht="14.25" customHeight="1">
      <c r="A47" s="200"/>
      <c r="B47" s="196"/>
      <c r="C47" s="196"/>
      <c r="D47" s="196"/>
      <c r="E47" s="196"/>
      <c r="F47" s="322"/>
      <c r="G47" s="322"/>
      <c r="H47" s="322"/>
      <c r="I47" s="322"/>
      <c r="J47" s="323"/>
      <c r="K47" s="323"/>
    </row>
    <row r="48" spans="1:11" ht="15.75">
      <c r="A48" s="200"/>
      <c r="B48" s="196"/>
      <c r="C48" s="196"/>
      <c r="D48" s="196"/>
      <c r="E48" s="196"/>
      <c r="F48" s="322"/>
      <c r="G48" s="322"/>
      <c r="H48" s="322"/>
      <c r="I48" s="322"/>
      <c r="J48" s="323"/>
      <c r="K48" s="323"/>
    </row>
    <row r="49" spans="1:12" ht="15.75">
      <c r="A49" s="200"/>
      <c r="B49" s="196"/>
      <c r="C49" s="196"/>
      <c r="D49" s="196"/>
      <c r="E49" s="196"/>
      <c r="F49" s="322"/>
      <c r="G49" s="322"/>
      <c r="H49" s="322"/>
      <c r="I49" s="322"/>
      <c r="J49" s="323"/>
      <c r="K49" s="323"/>
    </row>
    <row r="50" spans="1:12" ht="13.5" customHeight="1">
      <c r="A50" s="200"/>
      <c r="B50" s="196"/>
      <c r="C50" s="196"/>
      <c r="D50" s="196"/>
      <c r="E50" s="196"/>
      <c r="F50" s="322"/>
      <c r="G50" s="322"/>
      <c r="H50" s="322"/>
      <c r="I50" s="322"/>
      <c r="J50" s="323"/>
      <c r="K50" s="323"/>
    </row>
    <row r="51" spans="1:12" s="149" customFormat="1">
      <c r="A51" s="228" t="s">
        <v>536</v>
      </c>
      <c r="B51" s="228"/>
      <c r="C51" s="228"/>
      <c r="D51" s="228"/>
      <c r="E51" s="228"/>
      <c r="F51" s="324"/>
      <c r="G51" s="324"/>
      <c r="H51" s="324"/>
      <c r="I51" s="324"/>
      <c r="J51" s="325"/>
      <c r="K51" s="325"/>
      <c r="L51" s="228"/>
    </row>
    <row r="52" spans="1:12">
      <c r="D52" s="328"/>
    </row>
  </sheetData>
  <mergeCells count="13">
    <mergeCell ref="J1:K1"/>
    <mergeCell ref="J2:K2"/>
    <mergeCell ref="J3:K3"/>
    <mergeCell ref="A5:K5"/>
    <mergeCell ref="J46:K46"/>
    <mergeCell ref="J9:K9"/>
    <mergeCell ref="A6:K6"/>
    <mergeCell ref="A7:K7"/>
    <mergeCell ref="J8:K8"/>
    <mergeCell ref="C9:C10"/>
    <mergeCell ref="H9:I9"/>
    <mergeCell ref="F9:G9"/>
    <mergeCell ref="D9:E9"/>
  </mergeCells>
  <phoneticPr fontId="14" type="noConversion"/>
  <pageMargins left="0.3" right="0.24" top="0.25" bottom="0.23" header="0.22" footer="0.17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5"/>
  <sheetViews>
    <sheetView topLeftCell="A56" workbookViewId="0">
      <selection activeCell="E65" sqref="E65"/>
    </sheetView>
  </sheetViews>
  <sheetFormatPr defaultRowHeight="21" customHeight="1"/>
  <cols>
    <col min="1" max="1" width="9.42578125" style="386" customWidth="1"/>
    <col min="2" max="2" width="47.140625" style="386" customWidth="1"/>
    <col min="3" max="3" width="22" style="386" customWidth="1"/>
    <col min="4" max="4" width="21.140625" style="386" customWidth="1"/>
    <col min="5" max="6" width="10.140625" style="386" bestFit="1" customWidth="1"/>
    <col min="7" max="16384" width="9.140625" style="386"/>
  </cols>
  <sheetData>
    <row r="1" spans="1:4" ht="24.75" customHeight="1">
      <c r="A1" s="383"/>
      <c r="B1" s="454" t="s">
        <v>675</v>
      </c>
      <c r="C1" s="454"/>
      <c r="D1" s="385" t="s">
        <v>676</v>
      </c>
    </row>
    <row r="2" spans="1:4" ht="24.75" customHeight="1">
      <c r="A2" s="384"/>
      <c r="B2" s="455" t="s">
        <v>677</v>
      </c>
      <c r="C2" s="455"/>
    </row>
    <row r="3" spans="1:4" ht="24.75" customHeight="1">
      <c r="A3" s="387" t="s">
        <v>678</v>
      </c>
      <c r="B3" s="456" t="s">
        <v>679</v>
      </c>
      <c r="C3" s="456"/>
      <c r="D3" s="456"/>
    </row>
    <row r="4" spans="1:4" ht="7.5" customHeight="1">
      <c r="A4" s="384" t="s">
        <v>680</v>
      </c>
      <c r="B4" s="384"/>
      <c r="C4" s="384"/>
    </row>
    <row r="5" spans="1:4" ht="28.5" customHeight="1">
      <c r="A5" s="457" t="s">
        <v>681</v>
      </c>
      <c r="B5" s="457"/>
      <c r="C5" s="457"/>
      <c r="D5" s="457"/>
    </row>
    <row r="6" spans="1:4" ht="21" customHeight="1">
      <c r="A6" s="413" t="s">
        <v>605</v>
      </c>
      <c r="B6" s="413"/>
      <c r="C6" s="413"/>
      <c r="D6" s="413"/>
    </row>
    <row r="7" spans="1:4" ht="9.75" customHeight="1">
      <c r="A7" s="382"/>
      <c r="B7" s="382"/>
      <c r="C7" s="382"/>
      <c r="D7" s="382"/>
    </row>
    <row r="8" spans="1:4" ht="21" customHeight="1">
      <c r="A8" s="388" t="s">
        <v>682</v>
      </c>
      <c r="D8" s="4" t="s">
        <v>59</v>
      </c>
    </row>
    <row r="9" spans="1:4" ht="18.75" customHeight="1">
      <c r="A9" s="15" t="s">
        <v>683</v>
      </c>
      <c r="B9" s="16" t="s">
        <v>684</v>
      </c>
      <c r="C9" s="389" t="s">
        <v>685</v>
      </c>
      <c r="D9" s="389" t="s">
        <v>686</v>
      </c>
    </row>
    <row r="10" spans="1:4" ht="18.75" customHeight="1">
      <c r="A10" s="390" t="s">
        <v>687</v>
      </c>
      <c r="B10" s="19" t="s">
        <v>688</v>
      </c>
      <c r="C10" s="19">
        <f>SUM(C11:C15)</f>
        <v>80045549044</v>
      </c>
      <c r="D10" s="19">
        <f>SUM(D11:D15)</f>
        <v>94604203858</v>
      </c>
    </row>
    <row r="11" spans="1:4" ht="18.75" customHeight="1">
      <c r="A11" s="391">
        <v>1</v>
      </c>
      <c r="B11" s="392" t="s">
        <v>689</v>
      </c>
      <c r="C11" s="392">
        <v>7229425791</v>
      </c>
      <c r="D11" s="392">
        <v>15958240452</v>
      </c>
    </row>
    <row r="12" spans="1:4" ht="18.75" customHeight="1">
      <c r="A12" s="391">
        <v>2</v>
      </c>
      <c r="B12" s="392" t="s">
        <v>690</v>
      </c>
      <c r="C12" s="392">
        <v>2200000000</v>
      </c>
      <c r="D12" s="392">
        <v>2000000000</v>
      </c>
    </row>
    <row r="13" spans="1:4" ht="18.75" customHeight="1">
      <c r="A13" s="391">
        <v>3</v>
      </c>
      <c r="B13" s="392" t="s">
        <v>691</v>
      </c>
      <c r="C13" s="392">
        <v>32440059604</v>
      </c>
      <c r="D13" s="392">
        <v>31235779809</v>
      </c>
    </row>
    <row r="14" spans="1:4" ht="18.75" customHeight="1">
      <c r="A14" s="391">
        <v>4</v>
      </c>
      <c r="B14" s="392" t="s">
        <v>692</v>
      </c>
      <c r="C14" s="392">
        <v>34978069254</v>
      </c>
      <c r="D14" s="392">
        <v>41884130197</v>
      </c>
    </row>
    <row r="15" spans="1:4" ht="18.75" customHeight="1">
      <c r="A15" s="391">
        <v>5</v>
      </c>
      <c r="B15" s="392" t="s">
        <v>693</v>
      </c>
      <c r="C15" s="392">
        <v>3197994395</v>
      </c>
      <c r="D15" s="392">
        <v>3526053400</v>
      </c>
    </row>
    <row r="16" spans="1:4" ht="18.75" customHeight="1">
      <c r="A16" s="20" t="s">
        <v>694</v>
      </c>
      <c r="B16" s="21" t="s">
        <v>695</v>
      </c>
      <c r="C16" s="21">
        <f>C17+C18+C24+C25</f>
        <v>61102201227</v>
      </c>
      <c r="D16" s="21">
        <f>D17+D18+D24+D25</f>
        <v>68438745940</v>
      </c>
    </row>
    <row r="17" spans="1:4" ht="18.75" customHeight="1">
      <c r="A17" s="391">
        <v>1</v>
      </c>
      <c r="B17" s="392" t="s">
        <v>696</v>
      </c>
      <c r="C17" s="392"/>
      <c r="D17" s="392"/>
    </row>
    <row r="18" spans="1:4" ht="18.75" customHeight="1">
      <c r="A18" s="391">
        <v>2</v>
      </c>
      <c r="B18" s="392" t="s">
        <v>697</v>
      </c>
      <c r="C18" s="392">
        <f>SUM(C19:C22)</f>
        <v>59102950768</v>
      </c>
      <c r="D18" s="392">
        <f>SUM(D19:D22)</f>
        <v>66720495791</v>
      </c>
    </row>
    <row r="19" spans="1:4" ht="18.75" customHeight="1">
      <c r="A19" s="391"/>
      <c r="B19" s="103" t="s">
        <v>698</v>
      </c>
      <c r="C19" s="13">
        <v>54959321719</v>
      </c>
      <c r="D19" s="13">
        <v>57300595518</v>
      </c>
    </row>
    <row r="20" spans="1:4" ht="18.75" customHeight="1">
      <c r="A20" s="391"/>
      <c r="B20" s="103" t="s">
        <v>699</v>
      </c>
      <c r="C20" s="13">
        <v>2246565413</v>
      </c>
      <c r="D20" s="13">
        <v>2205812378</v>
      </c>
    </row>
    <row r="21" spans="1:4" ht="18.75" customHeight="1">
      <c r="A21" s="391"/>
      <c r="B21" s="103" t="s">
        <v>700</v>
      </c>
      <c r="C21" s="13"/>
      <c r="D21" s="13"/>
    </row>
    <row r="22" spans="1:4" ht="18.75" customHeight="1">
      <c r="A22" s="391"/>
      <c r="B22" s="103" t="s">
        <v>701</v>
      </c>
      <c r="C22" s="13">
        <v>1897063636</v>
      </c>
      <c r="D22" s="13">
        <v>7214087895</v>
      </c>
    </row>
    <row r="23" spans="1:4" ht="18.75" customHeight="1">
      <c r="A23" s="391">
        <v>3</v>
      </c>
      <c r="B23" s="392" t="s">
        <v>702</v>
      </c>
      <c r="C23" s="392"/>
      <c r="D23" s="392"/>
    </row>
    <row r="24" spans="1:4" ht="18.75" customHeight="1">
      <c r="A24" s="391">
        <v>4</v>
      </c>
      <c r="B24" s="392" t="s">
        <v>703</v>
      </c>
      <c r="C24" s="392"/>
      <c r="D24" s="392"/>
    </row>
    <row r="25" spans="1:4" ht="18.75" customHeight="1">
      <c r="A25" s="391">
        <v>5</v>
      </c>
      <c r="B25" s="392" t="s">
        <v>704</v>
      </c>
      <c r="C25" s="392">
        <v>1999250459</v>
      </c>
      <c r="D25" s="392">
        <v>1718250149</v>
      </c>
    </row>
    <row r="26" spans="1:4" ht="18.75" customHeight="1">
      <c r="A26" s="393" t="s">
        <v>705</v>
      </c>
      <c r="B26" s="394" t="s">
        <v>706</v>
      </c>
      <c r="C26" s="394">
        <f>C10+C16</f>
        <v>141147750271</v>
      </c>
      <c r="D26" s="394">
        <f>D10+D16</f>
        <v>163042949798</v>
      </c>
    </row>
    <row r="27" spans="1:4" ht="18.75" customHeight="1">
      <c r="A27" s="20" t="s">
        <v>707</v>
      </c>
      <c r="B27" s="21" t="s">
        <v>708</v>
      </c>
      <c r="C27" s="21">
        <f>C28+C29</f>
        <v>88649782263</v>
      </c>
      <c r="D27" s="21">
        <f>D28+D29</f>
        <v>113960788796</v>
      </c>
    </row>
    <row r="28" spans="1:4" ht="18.75" customHeight="1">
      <c r="A28" s="391">
        <v>1</v>
      </c>
      <c r="B28" s="392" t="s">
        <v>709</v>
      </c>
      <c r="C28" s="392">
        <v>74435104855</v>
      </c>
      <c r="D28" s="392">
        <v>95040948901</v>
      </c>
    </row>
    <row r="29" spans="1:4" ht="18.75" customHeight="1">
      <c r="A29" s="391">
        <v>2</v>
      </c>
      <c r="B29" s="392" t="s">
        <v>710</v>
      </c>
      <c r="C29" s="392">
        <v>14214677408</v>
      </c>
      <c r="D29" s="392">
        <v>18919839895</v>
      </c>
    </row>
    <row r="30" spans="1:4" ht="18.75" customHeight="1">
      <c r="A30" s="20" t="s">
        <v>711</v>
      </c>
      <c r="B30" s="21" t="s">
        <v>712</v>
      </c>
      <c r="C30" s="21">
        <f>C31+C42</f>
        <v>52497968008</v>
      </c>
      <c r="D30" s="21">
        <f>D31+D42</f>
        <v>49082161002</v>
      </c>
    </row>
    <row r="31" spans="1:4" ht="18.75" customHeight="1">
      <c r="A31" s="391">
        <v>1</v>
      </c>
      <c r="B31" s="392" t="s">
        <v>712</v>
      </c>
      <c r="C31" s="392">
        <v>52497968008</v>
      </c>
      <c r="D31" s="392">
        <f>SUM(D32:D40)</f>
        <v>49082161002</v>
      </c>
    </row>
    <row r="32" spans="1:4" ht="18.75" customHeight="1">
      <c r="A32" s="391"/>
      <c r="B32" s="103" t="s">
        <v>713</v>
      </c>
      <c r="C32" s="13">
        <v>27586800000</v>
      </c>
      <c r="D32" s="13">
        <v>27586800000</v>
      </c>
    </row>
    <row r="33" spans="1:4" ht="18.75" customHeight="1">
      <c r="A33" s="391"/>
      <c r="B33" s="103" t="s">
        <v>714</v>
      </c>
      <c r="C33" s="13">
        <v>4121612131</v>
      </c>
      <c r="D33" s="13">
        <v>4121612131</v>
      </c>
    </row>
    <row r="34" spans="1:4" ht="18.75" customHeight="1">
      <c r="A34" s="391"/>
      <c r="B34" s="103" t="s">
        <v>715</v>
      </c>
      <c r="C34" s="13">
        <v>0</v>
      </c>
      <c r="D34" s="13">
        <v>0</v>
      </c>
    </row>
    <row r="35" spans="1:4" ht="18.75" customHeight="1">
      <c r="A35" s="391"/>
      <c r="B35" s="103" t="s">
        <v>716</v>
      </c>
      <c r="C35" s="13">
        <f>10105505854+650000000</f>
        <v>10755505854</v>
      </c>
      <c r="D35" s="13">
        <f>10105505854+650000000</f>
        <v>10755505854</v>
      </c>
    </row>
    <row r="36" spans="1:4" ht="18.75" hidden="1" customHeight="1">
      <c r="A36" s="391"/>
      <c r="B36" s="103" t="s">
        <v>717</v>
      </c>
      <c r="C36" s="13"/>
      <c r="D36" s="13"/>
    </row>
    <row r="37" spans="1:4" ht="18.75" hidden="1" customHeight="1">
      <c r="A37" s="391"/>
      <c r="B37" s="103" t="s">
        <v>718</v>
      </c>
      <c r="C37" s="13"/>
      <c r="D37" s="13"/>
    </row>
    <row r="38" spans="1:4" ht="18.75" hidden="1" customHeight="1">
      <c r="A38" s="391"/>
      <c r="B38" s="103" t="s">
        <v>715</v>
      </c>
      <c r="C38" s="13"/>
      <c r="D38" s="13"/>
    </row>
    <row r="39" spans="1:4" ht="18.75" hidden="1" customHeight="1">
      <c r="A39" s="391"/>
      <c r="B39" s="103" t="s">
        <v>719</v>
      </c>
      <c r="C39" s="13"/>
      <c r="D39" s="13"/>
    </row>
    <row r="40" spans="1:4" ht="18.75" customHeight="1">
      <c r="A40" s="391"/>
      <c r="B40" s="103" t="s">
        <v>720</v>
      </c>
      <c r="C40" s="13">
        <v>10034050023</v>
      </c>
      <c r="D40" s="13">
        <v>6618243017</v>
      </c>
    </row>
    <row r="41" spans="1:4" ht="18.75" customHeight="1">
      <c r="A41" s="391"/>
      <c r="B41" s="103" t="s">
        <v>721</v>
      </c>
      <c r="C41" s="13"/>
      <c r="D41" s="13"/>
    </row>
    <row r="42" spans="1:4" ht="18.75" customHeight="1">
      <c r="A42" s="391">
        <v>2</v>
      </c>
      <c r="B42" s="392" t="s">
        <v>722</v>
      </c>
      <c r="C42" s="392">
        <f>SUM(C43:C44)</f>
        <v>0</v>
      </c>
      <c r="D42" s="392">
        <f>SUM(D43:D44)</f>
        <v>0</v>
      </c>
    </row>
    <row r="43" spans="1:4" ht="18.75" customHeight="1">
      <c r="A43" s="391"/>
      <c r="B43" s="103" t="s">
        <v>723</v>
      </c>
      <c r="C43" s="13"/>
      <c r="D43" s="13"/>
    </row>
    <row r="44" spans="1:4" ht="18.75" customHeight="1">
      <c r="A44" s="391"/>
      <c r="B44" s="103" t="s">
        <v>724</v>
      </c>
      <c r="C44" s="13"/>
      <c r="D44" s="13"/>
    </row>
    <row r="45" spans="1:4" ht="18.75" customHeight="1">
      <c r="A45" s="395" t="s">
        <v>725</v>
      </c>
      <c r="B45" s="396" t="s">
        <v>726</v>
      </c>
      <c r="C45" s="396">
        <f>C27+C30</f>
        <v>141147750271</v>
      </c>
      <c r="D45" s="396">
        <f>D27+D30</f>
        <v>163042949798</v>
      </c>
    </row>
    <row r="46" spans="1:4" ht="21" customHeight="1">
      <c r="A46" s="397"/>
      <c r="B46" s="398"/>
      <c r="C46" s="398"/>
      <c r="D46" s="398"/>
    </row>
    <row r="47" spans="1:4" ht="21" customHeight="1">
      <c r="A47" s="388" t="s">
        <v>727</v>
      </c>
      <c r="B47" s="388" t="s">
        <v>728</v>
      </c>
    </row>
    <row r="48" spans="1:4" ht="21" customHeight="1">
      <c r="A48" s="15" t="s">
        <v>683</v>
      </c>
      <c r="B48" s="16" t="s">
        <v>684</v>
      </c>
      <c r="C48" s="16" t="s">
        <v>748</v>
      </c>
      <c r="D48" s="16" t="s">
        <v>210</v>
      </c>
    </row>
    <row r="49" spans="1:4" ht="21" customHeight="1">
      <c r="A49" s="399">
        <v>1</v>
      </c>
      <c r="B49" s="400" t="s">
        <v>729</v>
      </c>
      <c r="C49" s="400">
        <v>44791591402</v>
      </c>
      <c r="D49" s="400">
        <f>40898491519+48222498377+42315785100+44791591402</f>
        <v>176228366398</v>
      </c>
    </row>
    <row r="50" spans="1:4" ht="21" customHeight="1">
      <c r="A50" s="391">
        <v>2</v>
      </c>
      <c r="B50" s="392" t="s">
        <v>730</v>
      </c>
      <c r="C50" s="392">
        <v>20436000</v>
      </c>
      <c r="D50" s="392">
        <f>22496000+18310909+20436000</f>
        <v>61242909</v>
      </c>
    </row>
    <row r="51" spans="1:4" ht="21" customHeight="1">
      <c r="A51" s="391">
        <v>3</v>
      </c>
      <c r="B51" s="392" t="s">
        <v>731</v>
      </c>
      <c r="C51" s="392">
        <f>C49-C50</f>
        <v>44771155402</v>
      </c>
      <c r="D51" s="392">
        <f>D49-D50</f>
        <v>176167123489</v>
      </c>
    </row>
    <row r="52" spans="1:4" ht="21" customHeight="1">
      <c r="A52" s="391">
        <v>4</v>
      </c>
      <c r="B52" s="392" t="s">
        <v>732</v>
      </c>
      <c r="C52" s="392">
        <v>33744916686</v>
      </c>
      <c r="D52" s="392">
        <f>31592018135+38302938528+34190123021+33744916686</f>
        <v>137829996370</v>
      </c>
    </row>
    <row r="53" spans="1:4" ht="21" customHeight="1">
      <c r="A53" s="391">
        <v>5</v>
      </c>
      <c r="B53" s="392" t="s">
        <v>733</v>
      </c>
      <c r="C53" s="392">
        <f>C51-C52</f>
        <v>11026238716</v>
      </c>
      <c r="D53" s="392">
        <f>D51-D52</f>
        <v>38337127119</v>
      </c>
    </row>
    <row r="54" spans="1:4" ht="21" customHeight="1">
      <c r="A54" s="391">
        <v>6</v>
      </c>
      <c r="B54" s="392" t="s">
        <v>734</v>
      </c>
      <c r="C54" s="392">
        <v>266652094</v>
      </c>
      <c r="D54" s="392">
        <f>54245119+1033312250+128526291+266652094</f>
        <v>1482735754</v>
      </c>
    </row>
    <row r="55" spans="1:4" ht="21" customHeight="1">
      <c r="A55" s="391">
        <v>7</v>
      </c>
      <c r="B55" s="392" t="s">
        <v>735</v>
      </c>
      <c r="C55" s="392">
        <v>1174199955</v>
      </c>
      <c r="D55" s="392">
        <f>103517203+510571894+829211762+1174199955</f>
        <v>2617500814</v>
      </c>
    </row>
    <row r="56" spans="1:4" ht="21" customHeight="1">
      <c r="A56" s="391">
        <v>8</v>
      </c>
      <c r="B56" s="392" t="s">
        <v>736</v>
      </c>
      <c r="C56" s="392">
        <v>3619096931</v>
      </c>
      <c r="D56" s="392">
        <f>2999666803+3286013388+1277929998+3619096931</f>
        <v>11182707120</v>
      </c>
    </row>
    <row r="57" spans="1:4" ht="21" customHeight="1">
      <c r="A57" s="391">
        <v>9</v>
      </c>
      <c r="B57" s="392" t="s">
        <v>737</v>
      </c>
      <c r="C57" s="392">
        <v>4547996540</v>
      </c>
      <c r="D57" s="392">
        <f>3448376957+3387578810+4096932991+4547996540</f>
        <v>15480885298</v>
      </c>
    </row>
    <row r="58" spans="1:4" ht="21" customHeight="1">
      <c r="A58" s="391">
        <v>10</v>
      </c>
      <c r="B58" s="392" t="s">
        <v>738</v>
      </c>
      <c r="C58" s="392">
        <f>C53+C54-C55-C56-C57</f>
        <v>1951597384</v>
      </c>
      <c r="D58" s="392">
        <f>D53+D54-D55-D56-D57</f>
        <v>10538769641</v>
      </c>
    </row>
    <row r="59" spans="1:4" ht="21" customHeight="1">
      <c r="A59" s="391">
        <v>11</v>
      </c>
      <c r="B59" s="392" t="s">
        <v>739</v>
      </c>
      <c r="C59" s="28">
        <v>189195576</v>
      </c>
      <c r="D59" s="28">
        <f>5000000+1363635+189195576</f>
        <v>195559211</v>
      </c>
    </row>
    <row r="60" spans="1:4" ht="21" customHeight="1">
      <c r="A60" s="391">
        <v>12</v>
      </c>
      <c r="B60" s="392" t="s">
        <v>740</v>
      </c>
      <c r="C60" s="28">
        <v>39964000</v>
      </c>
      <c r="D60" s="28">
        <f>134400000+14770000+39964000</f>
        <v>189134000</v>
      </c>
    </row>
    <row r="61" spans="1:4" ht="21" customHeight="1">
      <c r="A61" s="391">
        <v>13</v>
      </c>
      <c r="B61" s="392" t="s">
        <v>741</v>
      </c>
      <c r="C61" s="401">
        <f>C59-C60</f>
        <v>149231576</v>
      </c>
      <c r="D61" s="28">
        <f>D59-D60</f>
        <v>6425211</v>
      </c>
    </row>
    <row r="62" spans="1:4" ht="21" customHeight="1">
      <c r="A62" s="391">
        <v>14</v>
      </c>
      <c r="B62" s="392" t="s">
        <v>742</v>
      </c>
      <c r="C62" s="392">
        <f>C58+C61</f>
        <v>2100828960</v>
      </c>
      <c r="D62" s="392">
        <f>D58+D61</f>
        <v>10545194852</v>
      </c>
    </row>
    <row r="63" spans="1:4" ht="21" customHeight="1">
      <c r="A63" s="391">
        <v>15</v>
      </c>
      <c r="B63" s="392" t="s">
        <v>743</v>
      </c>
      <c r="C63" s="392">
        <v>626879968</v>
      </c>
      <c r="D63" s="392">
        <f>697415385+904499275+509176814+626879966+2</f>
        <v>2737971442</v>
      </c>
    </row>
    <row r="64" spans="1:4" ht="21" customHeight="1">
      <c r="A64" s="391">
        <v>16</v>
      </c>
      <c r="B64" s="11" t="s">
        <v>749</v>
      </c>
      <c r="C64" s="408">
        <v>-41022727</v>
      </c>
      <c r="D64" s="408">
        <v>-41022727</v>
      </c>
    </row>
    <row r="65" spans="1:4" ht="21" customHeight="1">
      <c r="A65" s="391">
        <v>17</v>
      </c>
      <c r="B65" s="392" t="s">
        <v>744</v>
      </c>
      <c r="C65" s="392">
        <f>C62-C63-C64</f>
        <v>1514971719</v>
      </c>
      <c r="D65" s="392">
        <f>D62-D63-D64</f>
        <v>7848246137</v>
      </c>
    </row>
    <row r="66" spans="1:4" ht="21" customHeight="1">
      <c r="A66" s="391">
        <v>18</v>
      </c>
      <c r="B66" s="392" t="s">
        <v>745</v>
      </c>
      <c r="C66" s="402">
        <f>C65/2758680</f>
        <v>549.16544108051676</v>
      </c>
      <c r="D66" s="402">
        <f>D65/2758680</f>
        <v>2844.9280587092376</v>
      </c>
    </row>
    <row r="67" spans="1:4" ht="21" customHeight="1">
      <c r="A67" s="403">
        <v>19</v>
      </c>
      <c r="B67" s="404" t="s">
        <v>746</v>
      </c>
      <c r="C67" s="405">
        <v>425</v>
      </c>
      <c r="D67" s="405">
        <v>1700</v>
      </c>
    </row>
    <row r="69" spans="1:4" ht="15.75">
      <c r="C69" s="8" t="s">
        <v>626</v>
      </c>
    </row>
    <row r="70" spans="1:4" ht="21" customHeight="1">
      <c r="C70" s="406" t="s">
        <v>747</v>
      </c>
    </row>
    <row r="71" spans="1:4" ht="21" customHeight="1">
      <c r="C71" s="406"/>
    </row>
    <row r="75" spans="1:4" ht="21" customHeight="1">
      <c r="C75" s="382"/>
    </row>
  </sheetData>
  <mergeCells count="5">
    <mergeCell ref="B1:C1"/>
    <mergeCell ref="B2:C2"/>
    <mergeCell ref="B3:D3"/>
    <mergeCell ref="A5:D5"/>
    <mergeCell ref="A6:D6"/>
  </mergeCells>
  <phoneticPr fontId="94" type="noConversion"/>
  <pageMargins left="0.8" right="0.24" top="0.31" bottom="0.34" header="0.3" footer="0.3"/>
  <pageSetup paperSize="9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R6GHQ1rRsw6zM/vRVXpyaGpMS6g=</DigestValue>
    </Reference>
    <Reference URI="#idOfficeObject" Type="http://www.w3.org/2000/09/xmldsig#Object">
      <DigestMethod Algorithm="http://www.w3.org/2000/09/xmldsig#sha1"/>
      <DigestValue>NZ2lLYIjeGplfw5mqQRR4J7fB0A=</DigestValue>
    </Reference>
  </SignedInfo>
  <SignatureValue>
    LSRQvRvwUUwRtsKauj03i9lKVl5v6nH8Ca+q5T+2SHv1krfTxcEMrmVjkyPgMWpJ5ls7tmu+
    uNkUx4oHH00crb27YsmQb3fiLCQnNNBrgG3Nq6ehib8eG7ZSSkNTSxM+nmchlIzUqqmfFLwc
    WnopmXGlYHx21GT9flD//cKMyis=
  </SignatureValue>
  <KeyInfo>
    <KeyValue>
      <RSAKeyValue>
        <Modulus>
            sS6FdhY0+Rl5oX80mVRcpw3lAQrBfHWlfbLLGPYQ8Absx9GRdzEUSBc5M5NwMImWWoNbxt8O
            IluD6P2jg4+5P4j2jOdNhAKiEcuM32o8+45rRXXrXk0D7MJGKX4MWZ3g5m7Y2WN67n33nq1r
            Fd4u4V6pKXTirUDFMTEyGvExIR8=
          </Modulus>
        <Exponent>AQAB</Exponent>
      </RSAKeyValue>
    </KeyValue>
    <X509Data>
      <X509Certificate>
          MIICEDCCAX2gAwIBAgIQ1UeX1P3vNbtO2FEBAgPMlTAJBgUrDgMCHQUAMEIxEjAQBgNVBAMT
          CXRodXl0Y2t0MTEdMBsGCSqGSIb3DQEJARYOdGh1eXRja3QxQEhQTUMxDTALBgNVBAoTBDAx
          MjMwHhcNMTIwNzMxMDIxNzE0WhcNMTMwNzMxMDgxNzE0WjBCMRIwEAYDVQQDEwl0aHV5dGNr
          dDExHTAbBgkqhkiG9w0BCQEWDnRodXl0Y2t0MUBIUE1DMQ0wCwYDVQQKEwQwMTIzMIGfMA0G
          CSqGSIb3DQEBAQUAA4GNADCBiQKBgQCxLoV2FjT5GXmhfzSZVFynDeUBCsF8daV9sssY9hDw
          BuzH0ZF3MRRIFzkzk3AwiZZag1vG3w4iW4Po/aODj7k/iPaM502EAqIRy4zfajz7jmtFdete
          TQPswkYpfgxZneDmbtjZY3ruffeerWsV3i7hXqkpdOKtQMUxMTIa8TEhHwIDAQABow8wDTAL
          BgNVHQ8EBAMCBsAwCQYFKw4DAh0FAAOBgQAGnYpWTey2bOo5r0R23PEqOo3WNKsK4KWrOfRx
          vuGUyZLv+lfgAtPzosmjI6pcXRplID2JzIhyhx7CBM2dwfILlkZWuSlpxqC/wN3fqHkYHwZL
          YsJWFyT9Ms6Q3jIgc/Jc+Vy1bKZ7sxHlgAcMi5D/XrWTuHItADhThTWSkuei8A==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JWUqlw1P7I1KDB9NOkL6RKgLrrE=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drawing1.xml?ContentType=application/vnd.openxmlformats-officedocument.drawing+xml">
        <DigestMethod Algorithm="http://www.w3.org/2000/09/xmldsig#sha1"/>
        <DigestValue>qD1wD84bBXIMKS7LtSs1tmlMSZQ=</DigestValue>
      </Reference>
      <Reference URI="/xl/drawings/drawing2.xml?ContentType=application/vnd.openxmlformats-officedocument.drawing+xml">
        <DigestMethod Algorithm="http://www.w3.org/2000/09/xmldsig#sha1"/>
        <DigestValue>qY0xczPVDWmVIcEcDO/lB2Ifp+s=</DigestValue>
      </Reference>
      <Reference URI="/xl/drawings/drawing3.xml?ContentType=application/vnd.openxmlformats-officedocument.drawing+xml">
        <DigestMethod Algorithm="http://www.w3.org/2000/09/xmldsig#sha1"/>
        <DigestValue>y/g05baJueauDVlVw1mZQKU1eJc=</DigestValue>
      </Reference>
      <Reference URI="/xl/drawings/drawing4.xml?ContentType=application/vnd.openxmlformats-officedocument.drawing+xml">
        <DigestMethod Algorithm="http://www.w3.org/2000/09/xmldsig#sha1"/>
        <DigestValue>8rtZZguTdLRgD2z/S9XK+18kKEw=</DigestValue>
      </Reference>
      <Reference URI="/xl/drawings/drawing5.xml?ContentType=application/vnd.openxmlformats-officedocument.drawing+xml">
        <DigestMethod Algorithm="http://www.w3.org/2000/09/xmldsig#sha1"/>
        <DigestValue>mwaihc5b5dZfi976LMAIIB2GYy4=</DigestValue>
      </Reference>
      <Reference URI="/xl/media/image1.wmf?ContentType=image/x-wmf">
        <DigestMethod Algorithm="http://www.w3.org/2000/09/xmldsig#sha1"/>
        <DigestValue>r1+esW6lFaDkdwk5G3M3LqjAMRc=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iOhGZ7WtUcTzbINIzFTh1X1Hees=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lYacOrv+PCiEUDM0CFj25+aHIjk=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lYacOrv+PCiEUDM0CFj25+aHIjk=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iOhGZ7WtUcTzbINIzFTh1X1Hees=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iOhGZ7WtUcTzbINIzFTh1X1Hees=</DigestValue>
      </Reference>
      <Reference URI="/xl/sharedStrings.xml?ContentType=application/vnd.openxmlformats-officedocument.spreadsheetml.sharedStrings+xml">
        <DigestMethod Algorithm="http://www.w3.org/2000/09/xmldsig#sha1"/>
        <DigestValue>dOX/YLOVzE5e2s4caW8d10qFrWk=</DigestValue>
      </Reference>
      <Reference URI="/xl/styles.xml?ContentType=application/vnd.openxmlformats-officedocument.spreadsheetml.styles+xml">
        <DigestMethod Algorithm="http://www.w3.org/2000/09/xmldsig#sha1"/>
        <DigestValue>lfkdqu1Fi3WEGM4VT8bpRk6mdJM=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9PwFlSljTuMklA2dbPfVHNuesd4=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TzSoNY7Vz346wVbl+SaXW7UTDZM=</DigestValue>
      </Reference>
      <Reference URI="/xl/worksheets/sheet1.xml?ContentType=application/vnd.openxmlformats-officedocument.spreadsheetml.worksheet+xml">
        <DigestMethod Algorithm="http://www.w3.org/2000/09/xmldsig#sha1"/>
        <DigestValue>Oxdqt6Kp/nsOqgR2ijAIaVxD/Gg=</DigestValue>
      </Reference>
      <Reference URI="/xl/worksheets/sheet2.xml?ContentType=application/vnd.openxmlformats-officedocument.spreadsheetml.worksheet+xml">
        <DigestMethod Algorithm="http://www.w3.org/2000/09/xmldsig#sha1"/>
        <DigestValue>9GpE8dFt2eIkti2yEZw9ZPBKgqY=</DigestValue>
      </Reference>
      <Reference URI="/xl/worksheets/sheet3.xml?ContentType=application/vnd.openxmlformats-officedocument.spreadsheetml.worksheet+xml">
        <DigestMethod Algorithm="http://www.w3.org/2000/09/xmldsig#sha1"/>
        <DigestValue>U5RTQzBCnuNB8Sd63iUozLaGYuw=</DigestValue>
      </Reference>
      <Reference URI="/xl/worksheets/sheet4.xml?ContentType=application/vnd.openxmlformats-officedocument.spreadsheetml.worksheet+xml">
        <DigestMethod Algorithm="http://www.w3.org/2000/09/xmldsig#sha1"/>
        <DigestValue>wy0jDaaLvmuEgfm9Q72MvbTQNQM=</DigestValue>
      </Reference>
      <Reference URI="/xl/worksheets/sheet5.xml?ContentType=application/vnd.openxmlformats-officedocument.spreadsheetml.worksheet+xml">
        <DigestMethod Algorithm="http://www.w3.org/2000/09/xmldsig#sha1"/>
        <DigestValue>k4vIXctJTXGOumuvzVPzx0OxUqM=</DigestValue>
      </Reference>
    </Manifest>
    <SignatureProperties>
      <SignatureProperty Id="idSignatureTime" Target="#idPackageSignature">
        <mdssi:SignatureTime>
          <mdssi:Format>YYYY-MM-DDThh:mm:ssTZD</mdssi:Format>
          <mdssi:Value>2013-01-24T07:14:25Z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12.0</OfficeVersion>
          <ApplicationVersion>12.0</ApplicationVersion>
          <Monitors>1</Monitors>
          <HorizontalResolution>800</HorizontalResolution>
          <VerticalResolution>600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KQKD</vt:lpstr>
      <vt:lpstr>TMBC</vt:lpstr>
      <vt:lpstr>CDKT</vt:lpstr>
      <vt:lpstr>LCTT</vt:lpstr>
      <vt:lpstr>CBTT</vt:lpstr>
    </vt:vector>
  </TitlesOfParts>
  <Company>YMC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Tung Hiep</dc:creator>
  <cp:lastModifiedBy>thuytckt1</cp:lastModifiedBy>
  <cp:lastPrinted>2013-01-21T02:32:19Z</cp:lastPrinted>
  <dcterms:created xsi:type="dcterms:W3CDTF">2009-07-07T02:41:51Z</dcterms:created>
  <dcterms:modified xsi:type="dcterms:W3CDTF">2013-01-24T07:14:03Z</dcterms:modified>
</cp:coreProperties>
</file>